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56D6F421-0EC1-4AA8-ACB5-130038F03E36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BALANÇO" sheetId="19" r:id="rId1"/>
    <sheet name="DRE" sheetId="20" r:id="rId2"/>
    <sheet name="DFC" sheetId="21" r:id="rId3"/>
    <sheet name="CONCILIAÇÃO" sheetId="22" r:id="rId4"/>
    <sheet name="ICESP-CGs OP 88700_701" sheetId="11" state="hidden" r:id="rId5"/>
  </sheets>
  <externalReferences>
    <externalReference r:id="rId6"/>
    <externalReference r:id="rId7"/>
  </externalReferences>
  <definedNames>
    <definedName name="_xlnm._FilterDatabase" localSheetId="0" hidden="1">BALANÇO!$A$10:$B$38</definedName>
    <definedName name="_xlnm._FilterDatabase" localSheetId="1" hidden="1">DRE!$A$11:$B$35</definedName>
    <definedName name="A" localSheetId="2">#REF!</definedName>
    <definedName name="A" localSheetId="4">#REF!</definedName>
    <definedName name="A">#REF!</definedName>
    <definedName name="AAAAAAAAAAA" localSheetId="2">#REF!</definedName>
    <definedName name="AAAAAAAAAAA" localSheetId="4">#REF!</definedName>
    <definedName name="AAAAAAAAAAA">#REF!</definedName>
    <definedName name="_xlnm.Print_Area" localSheetId="0">BALANÇO!$A$1:$M$38</definedName>
    <definedName name="_xlnm.Print_Area" localSheetId="3">CONCILIAÇÃO!$A$1:$M$21</definedName>
    <definedName name="_xlnm.Print_Area" localSheetId="2">DFC!$A$1:$P$43</definedName>
    <definedName name="_xlnm.Print_Area" localSheetId="1">DRE!$A$1:$N$43</definedName>
    <definedName name="_xlnm.Print_Area" localSheetId="4">'ICESP-CGs OP 88700_701'!$A$1:$Q$40</definedName>
    <definedName name="B" localSheetId="2">#REF!</definedName>
    <definedName name="B" localSheetId="4">#REF!</definedName>
    <definedName name="B">#REF!</definedName>
    <definedName name="b110000000000">#REF!</definedName>
    <definedName name="bbbbbbbbbbbbbbb" localSheetId="2">#REF!</definedName>
    <definedName name="bbbbbbbbbbbbbbb" localSheetId="4">#REF!</definedName>
    <definedName name="bbbbbbbbbbbbbbb">#REF!</definedName>
    <definedName name="CONSOL_HIERARQUIZADO_HCOP" localSheetId="2">#REF!</definedName>
    <definedName name="CONSOL_HIERARQUIZADO_HCOP" localSheetId="4">#REF!</definedName>
    <definedName name="CONSOL_HIERARQUIZADO_HCOP">#REF!</definedName>
    <definedName name="CONSOLIDADO" localSheetId="2">#REF!</definedName>
    <definedName name="CONSOLIDADO" localSheetId="4">#REF!</definedName>
    <definedName name="CONSOLIDADO">#REF!</definedName>
    <definedName name="CRIS" localSheetId="2">#REF!</definedName>
    <definedName name="CRIS" localSheetId="4">#REF!</definedName>
    <definedName name="CRIS">#REF!</definedName>
    <definedName name="E" localSheetId="2">#REF!</definedName>
    <definedName name="E" localSheetId="4">#REF!</definedName>
    <definedName name="E">#REF!</definedName>
    <definedName name="e_consolidado_hier_completa" localSheetId="2">#REF!</definedName>
    <definedName name="e_consolidado_hier_completa" localSheetId="4">#REF!</definedName>
    <definedName name="e_consolidado_hier_completa">#REF!</definedName>
    <definedName name="e_consolidado_julho07_hier_completa" localSheetId="2">#REF!</definedName>
    <definedName name="e_consolidado_julho07_hier_completa" localSheetId="4">#REF!</definedName>
    <definedName name="e_consolidado_julho07_hier_completa">#REF!</definedName>
    <definedName name="e_saldo_total_julh07_hier_completa" localSheetId="2">#REF!</definedName>
    <definedName name="e_saldo_total_julh07_hier_completa" localSheetId="4">#REF!</definedName>
    <definedName name="e_saldo_total_julh07_hier_completa">#REF!</definedName>
    <definedName name="F" localSheetId="2">#REF!</definedName>
    <definedName name="F" localSheetId="4">#REF!</definedName>
    <definedName name="F">#REF!</definedName>
    <definedName name="FFFFFFF" localSheetId="2">#REF!</definedName>
    <definedName name="FFFFFFF" localSheetId="4">#REF!</definedName>
    <definedName name="FFFFFFF">#REF!</definedName>
    <definedName name="FFFFFFFFFFFFFFFFFF" localSheetId="2">#REF!</definedName>
    <definedName name="FFFFFFFFFFFFFFFFFF" localSheetId="4">#REF!</definedName>
    <definedName name="FFFFFFFFFFFFFFFFFF">#REF!</definedName>
    <definedName name="fppfpfpfp" localSheetId="2">#REF!</definedName>
    <definedName name="fppfpfpfp" localSheetId="4">#REF!</definedName>
    <definedName name="fppfpfpfp">#REF!</definedName>
    <definedName name="ggg" localSheetId="2">#REF!</definedName>
    <definedName name="ggg" localSheetId="4">#REF!</definedName>
    <definedName name="ggg">#REF!</definedName>
    <definedName name="GR" localSheetId="2">#REF!</definedName>
    <definedName name="GR" localSheetId="4">#REF!</definedName>
    <definedName name="GR">#REF!</definedName>
    <definedName name="ICESP_DFC___CONSOL_HIERAR" localSheetId="2">#REF!</definedName>
    <definedName name="ICESP_DFC___CONSOL_HIERAR" localSheetId="4">#REF!</definedName>
    <definedName name="ICESP_DFC___CONSOL_HIERAR">#REF!</definedName>
    <definedName name="já" localSheetId="2">#REF!</definedName>
    <definedName name="já" localSheetId="4">#REF!</definedName>
    <definedName name="já">#REF!</definedName>
    <definedName name="jjjjjjjjjjjjjjjjjjjjj" localSheetId="2">#REF!</definedName>
    <definedName name="jjjjjjjjjjjjjjjjjjjjj" localSheetId="4">#REF!</definedName>
    <definedName name="jjjjjjjjjjjjjjjjjjjjj">#REF!</definedName>
    <definedName name="k" localSheetId="2">#REF!</definedName>
    <definedName name="k" localSheetId="4">#REF!</definedName>
    <definedName name="k">#REF!</definedName>
    <definedName name="LDLDLDLDLD" localSheetId="2">#REF!</definedName>
    <definedName name="LDLDLDLDLD" localSheetId="4">#REF!</definedName>
    <definedName name="LDLDLDLDLD">#REF!</definedName>
    <definedName name="LL" localSheetId="2">#REF!</definedName>
    <definedName name="LL" localSheetId="4">#REF!</definedName>
    <definedName name="LL">#REF!</definedName>
    <definedName name="mmmm" localSheetId="2">#REF!</definedName>
    <definedName name="mmmm" localSheetId="4">#REF!</definedName>
    <definedName name="mmmm">#REF!</definedName>
    <definedName name="N___Consolidado_ICESP_HIER" localSheetId="2">#REF!</definedName>
    <definedName name="N___Consolidado_ICESP_HIER" localSheetId="4">#REF!</definedName>
    <definedName name="N___Consolidado_ICESP_HIER">#REF!</definedName>
    <definedName name="o" localSheetId="2">#REF!</definedName>
    <definedName name="o" localSheetId="4">#REF!</definedName>
    <definedName name="o">#REF!</definedName>
    <definedName name="tb" localSheetId="2">#REF!</definedName>
    <definedName name="tb" localSheetId="4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 localSheetId="4">#REF!</definedName>
    <definedName name="z">#REF!</definedName>
    <definedName name="ZZ_DISTR_AIH_CONTR_DEZ2005" localSheetId="2">#REF!</definedName>
    <definedName name="ZZ_DISTR_AIH_CONTR_DEZ2005" localSheetId="4">#REF!</definedName>
    <definedName name="ZZ_DISTR_AIH_CONTR_DEZ2005">#REF!</definedName>
    <definedName name="ZZ_DISTR_AIH_CONTR_JAN2006" localSheetId="2">#REF!</definedName>
    <definedName name="ZZ_DISTR_AIH_CONTR_JAN2006" localSheetId="4">#REF!</definedName>
    <definedName name="ZZ_DISTR_AIH_CONTR_JAN2006">#REF!</definedName>
    <definedName name="ZZ_DISTR_AMB_CONTR_DEZ2005" localSheetId="2">#REF!</definedName>
    <definedName name="ZZ_DISTR_AMB_CONTR_DEZ2005" localSheetId="4">#REF!</definedName>
    <definedName name="ZZ_DISTR_AMB_CONTR_DEZ2005">#REF!</definedName>
    <definedName name="ZZ_DISTR_AMB_CONTR_JAN2006" localSheetId="2">#REF!</definedName>
    <definedName name="ZZ_DISTR_AMB_CONTR_JAN2006" localSheetId="4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4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22" l="1"/>
  <c r="M21" i="22"/>
  <c r="L21" i="22"/>
  <c r="I21" i="22"/>
  <c r="G21" i="22"/>
  <c r="F21" i="22"/>
  <c r="E21" i="22"/>
  <c r="D21" i="22"/>
  <c r="C21" i="22"/>
  <c r="J18" i="22"/>
  <c r="J21" i="22" s="1"/>
  <c r="H18" i="22"/>
  <c r="H21" i="22" s="1"/>
  <c r="K17" i="22"/>
  <c r="K21" i="22" s="1"/>
  <c r="H17" i="22"/>
  <c r="O41" i="21"/>
  <c r="G41" i="21"/>
  <c r="C41" i="21"/>
  <c r="O37" i="21"/>
  <c r="N37" i="21"/>
  <c r="L37" i="21"/>
  <c r="K37" i="21"/>
  <c r="J37" i="21"/>
  <c r="I37" i="21"/>
  <c r="G37" i="21"/>
  <c r="F37" i="21"/>
  <c r="E37" i="21"/>
  <c r="D37" i="21"/>
  <c r="O36" i="21"/>
  <c r="M36" i="21"/>
  <c r="M37" i="21" s="1"/>
  <c r="H36" i="21"/>
  <c r="H37" i="21" s="1"/>
  <c r="C36" i="21"/>
  <c r="C37" i="21" s="1"/>
  <c r="O35" i="21"/>
  <c r="O34" i="21"/>
  <c r="M31" i="21"/>
  <c r="H31" i="21"/>
  <c r="G31" i="21"/>
  <c r="F31" i="21"/>
  <c r="O30" i="21"/>
  <c r="O29" i="21"/>
  <c r="O28" i="21"/>
  <c r="N27" i="21"/>
  <c r="N31" i="21" s="1"/>
  <c r="M27" i="21"/>
  <c r="L27" i="21"/>
  <c r="L31" i="21" s="1"/>
  <c r="L39" i="21" s="1"/>
  <c r="K27" i="21"/>
  <c r="K31" i="21" s="1"/>
  <c r="K39" i="21" s="1"/>
  <c r="J27" i="21"/>
  <c r="J31" i="21" s="1"/>
  <c r="J39" i="21" s="1"/>
  <c r="I27" i="21"/>
  <c r="I31" i="21" s="1"/>
  <c r="H27" i="21"/>
  <c r="G27" i="21"/>
  <c r="F27" i="21"/>
  <c r="E27" i="21"/>
  <c r="E31" i="21" s="1"/>
  <c r="E39" i="21" s="1"/>
  <c r="D27" i="21"/>
  <c r="D31" i="21" s="1"/>
  <c r="C27" i="21"/>
  <c r="C31" i="21" s="1"/>
  <c r="O26" i="21"/>
  <c r="O25" i="21"/>
  <c r="O24" i="21"/>
  <c r="O27" i="21" s="1"/>
  <c r="O31" i="21" s="1"/>
  <c r="N21" i="21"/>
  <c r="N39" i="21" s="1"/>
  <c r="M21" i="21"/>
  <c r="M39" i="21" s="1"/>
  <c r="L21" i="21"/>
  <c r="K21" i="21"/>
  <c r="J21" i="21"/>
  <c r="I21" i="21"/>
  <c r="I39" i="21" s="1"/>
  <c r="H21" i="21"/>
  <c r="H39" i="21" s="1"/>
  <c r="G21" i="21"/>
  <c r="G39" i="21" s="1"/>
  <c r="F21" i="21"/>
  <c r="F39" i="21" s="1"/>
  <c r="E21" i="21"/>
  <c r="D21" i="21"/>
  <c r="C21" i="21"/>
  <c r="O20" i="21"/>
  <c r="O19" i="21"/>
  <c r="O18" i="21"/>
  <c r="O17" i="21"/>
  <c r="O16" i="21"/>
  <c r="O15" i="21"/>
  <c r="O21" i="21" s="1"/>
  <c r="O39" i="21" s="1"/>
  <c r="C39" i="21" l="1"/>
  <c r="C43" i="21" s="1"/>
  <c r="D12" i="21" s="1"/>
  <c r="D43" i="21" s="1"/>
  <c r="E12" i="21" s="1"/>
  <c r="E43" i="21" s="1"/>
  <c r="F12" i="21" s="1"/>
  <c r="F43" i="21" s="1"/>
  <c r="G12" i="21" s="1"/>
  <c r="G43" i="21" s="1"/>
  <c r="H12" i="21" s="1"/>
  <c r="H43" i="21" s="1"/>
  <c r="I12" i="21" s="1"/>
  <c r="I43" i="21" s="1"/>
  <c r="J12" i="21" s="1"/>
  <c r="J43" i="21" s="1"/>
  <c r="K12" i="21" s="1"/>
  <c r="K43" i="21" s="1"/>
  <c r="L12" i="21" s="1"/>
  <c r="L43" i="21" s="1"/>
  <c r="M12" i="21" s="1"/>
  <c r="M43" i="21" s="1"/>
  <c r="N12" i="21" s="1"/>
  <c r="D39" i="21"/>
  <c r="O12" i="21" l="1"/>
  <c r="O43" i="21" s="1"/>
  <c r="N43" i="21"/>
  <c r="N41" i="20" l="1"/>
  <c r="L40" i="20"/>
  <c r="N40" i="20" s="1"/>
  <c r="N39" i="20" s="1"/>
  <c r="M39" i="20"/>
  <c r="K39" i="20"/>
  <c r="J39" i="20"/>
  <c r="I39" i="20"/>
  <c r="H39" i="20"/>
  <c r="G39" i="20"/>
  <c r="F39" i="20"/>
  <c r="E39" i="20"/>
  <c r="D39" i="20"/>
  <c r="C39" i="20"/>
  <c r="B39" i="20"/>
  <c r="N35" i="20"/>
  <c r="N34" i="20"/>
  <c r="N33" i="20"/>
  <c r="N32" i="20"/>
  <c r="N31" i="20"/>
  <c r="N30" i="20"/>
  <c r="N29" i="20"/>
  <c r="N28" i="20"/>
  <c r="L27" i="20"/>
  <c r="N27" i="20" s="1"/>
  <c r="N26" i="20"/>
  <c r="M26" i="20"/>
  <c r="M19" i="20" s="1"/>
  <c r="L26" i="20"/>
  <c r="L19" i="20" s="1"/>
  <c r="K26" i="20"/>
  <c r="J26" i="20"/>
  <c r="I26" i="20"/>
  <c r="H26" i="20"/>
  <c r="G26" i="20"/>
  <c r="F26" i="20"/>
  <c r="E26" i="20"/>
  <c r="E19" i="20" s="1"/>
  <c r="E37" i="20" s="1"/>
  <c r="E43" i="20" s="1"/>
  <c r="D26" i="20"/>
  <c r="D19" i="20" s="1"/>
  <c r="D37" i="20" s="1"/>
  <c r="D43" i="20" s="1"/>
  <c r="C26" i="20"/>
  <c r="C19" i="20" s="1"/>
  <c r="C37" i="20" s="1"/>
  <c r="C43" i="20" s="1"/>
  <c r="B26" i="20"/>
  <c r="B19" i="20" s="1"/>
  <c r="B37" i="20" s="1"/>
  <c r="B43" i="20" s="1"/>
  <c r="N25" i="20"/>
  <c r="N24" i="20"/>
  <c r="N23" i="20"/>
  <c r="N22" i="20"/>
  <c r="N21" i="20"/>
  <c r="K19" i="20"/>
  <c r="J19" i="20"/>
  <c r="I19" i="20"/>
  <c r="H19" i="20"/>
  <c r="G19" i="20"/>
  <c r="F19" i="20"/>
  <c r="F37" i="20" s="1"/>
  <c r="F43" i="20" s="1"/>
  <c r="F46" i="20" s="1"/>
  <c r="N17" i="20"/>
  <c r="N16" i="20"/>
  <c r="N15" i="20"/>
  <c r="N14" i="20"/>
  <c r="L13" i="20"/>
  <c r="L12" i="20" s="1"/>
  <c r="L37" i="20" s="1"/>
  <c r="K13" i="20"/>
  <c r="K12" i="20" s="1"/>
  <c r="K37" i="20" s="1"/>
  <c r="K43" i="20" s="1"/>
  <c r="J13" i="20"/>
  <c r="J12" i="20" s="1"/>
  <c r="J37" i="20" s="1"/>
  <c r="J43" i="20" s="1"/>
  <c r="I13" i="20"/>
  <c r="I12" i="20" s="1"/>
  <c r="I37" i="20" s="1"/>
  <c r="I43" i="20" s="1"/>
  <c r="H13" i="20"/>
  <c r="G13" i="20"/>
  <c r="G12" i="20" s="1"/>
  <c r="G37" i="20" s="1"/>
  <c r="G43" i="20" s="1"/>
  <c r="G46" i="20" s="1"/>
  <c r="F13" i="20"/>
  <c r="E13" i="20"/>
  <c r="D13" i="20"/>
  <c r="C13" i="20"/>
  <c r="B13" i="20"/>
  <c r="M12" i="20"/>
  <c r="M37" i="20" s="1"/>
  <c r="M43" i="20" s="1"/>
  <c r="H12" i="20"/>
  <c r="H37" i="20" s="1"/>
  <c r="H43" i="20" s="1"/>
  <c r="F12" i="20"/>
  <c r="E12" i="20"/>
  <c r="D12" i="20"/>
  <c r="C12" i="20"/>
  <c r="B12" i="20"/>
  <c r="M33" i="19"/>
  <c r="L33" i="19"/>
  <c r="K33" i="19"/>
  <c r="J33" i="19"/>
  <c r="I33" i="19"/>
  <c r="H33" i="19"/>
  <c r="G33" i="19"/>
  <c r="F33" i="19"/>
  <c r="E33" i="19"/>
  <c r="D33" i="19"/>
  <c r="C33" i="19"/>
  <c r="B33" i="19"/>
  <c r="C27" i="19"/>
  <c r="C26" i="19" s="1"/>
  <c r="M26" i="19"/>
  <c r="L26" i="19"/>
  <c r="K26" i="19"/>
  <c r="J26" i="19"/>
  <c r="I26" i="19"/>
  <c r="H26" i="19"/>
  <c r="G26" i="19"/>
  <c r="F26" i="19"/>
  <c r="E26" i="19"/>
  <c r="D26" i="19"/>
  <c r="B26" i="19"/>
  <c r="M21" i="19"/>
  <c r="L21" i="19"/>
  <c r="K21" i="19"/>
  <c r="J21" i="19"/>
  <c r="I21" i="19"/>
  <c r="I12" i="19" s="1"/>
  <c r="H21" i="19"/>
  <c r="G21" i="19"/>
  <c r="F21" i="19"/>
  <c r="F12" i="19" s="1"/>
  <c r="E21" i="19"/>
  <c r="D21" i="19"/>
  <c r="C21" i="19"/>
  <c r="B21" i="19"/>
  <c r="L17" i="19"/>
  <c r="K17" i="19"/>
  <c r="J17" i="19"/>
  <c r="I17" i="19"/>
  <c r="H17" i="19"/>
  <c r="G17" i="19"/>
  <c r="F17" i="19"/>
  <c r="E17" i="19"/>
  <c r="E13" i="19" s="1"/>
  <c r="E12" i="19" s="1"/>
  <c r="D17" i="19"/>
  <c r="C17" i="19"/>
  <c r="C13" i="19" s="1"/>
  <c r="C12" i="19" s="1"/>
  <c r="B17" i="19"/>
  <c r="B13" i="19" s="1"/>
  <c r="B12" i="19" s="1"/>
  <c r="M13" i="19"/>
  <c r="M12" i="19" s="1"/>
  <c r="L13" i="19"/>
  <c r="L12" i="19" s="1"/>
  <c r="K13" i="19"/>
  <c r="J13" i="19"/>
  <c r="I13" i="19"/>
  <c r="H13" i="19"/>
  <c r="H12" i="19" s="1"/>
  <c r="G13" i="19"/>
  <c r="F13" i="19"/>
  <c r="D13" i="19"/>
  <c r="D12" i="19" s="1"/>
  <c r="K12" i="19"/>
  <c r="J12" i="19"/>
  <c r="G12" i="19"/>
  <c r="G38" i="19" l="1"/>
  <c r="G36" i="19" s="1"/>
  <c r="G25" i="19" s="1"/>
  <c r="E38" i="19"/>
  <c r="E36" i="19" s="1"/>
  <c r="E25" i="19" s="1"/>
  <c r="F38" i="19"/>
  <c r="F36" i="19" s="1"/>
  <c r="F25" i="19" s="1"/>
  <c r="D38" i="19"/>
  <c r="D36" i="19" s="1"/>
  <c r="D25" i="19" s="1"/>
  <c r="C38" i="19"/>
  <c r="C36" i="19" s="1"/>
  <c r="C25" i="19" s="1"/>
  <c r="K38" i="19"/>
  <c r="K36" i="19" s="1"/>
  <c r="K25" i="19" s="1"/>
  <c r="J38" i="19"/>
  <c r="J36" i="19" s="1"/>
  <c r="J25" i="19" s="1"/>
  <c r="I38" i="19"/>
  <c r="I36" i="19" s="1"/>
  <c r="I25" i="19" s="1"/>
  <c r="H38" i="19"/>
  <c r="H36" i="19" s="1"/>
  <c r="H25" i="19" s="1"/>
  <c r="B38" i="19"/>
  <c r="B36" i="19" s="1"/>
  <c r="N19" i="20"/>
  <c r="B25" i="19"/>
  <c r="L43" i="20"/>
  <c r="M38" i="19" s="1"/>
  <c r="M36" i="19" s="1"/>
  <c r="M25" i="19" s="1"/>
  <c r="N13" i="20"/>
  <c r="N12" i="20" s="1"/>
  <c r="N37" i="20" s="1"/>
  <c r="N43" i="20" s="1"/>
  <c r="L39" i="20"/>
  <c r="L38" i="19" l="1"/>
  <c r="L36" i="19" s="1"/>
  <c r="L25" i="19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<sst xmlns="http://schemas.openxmlformats.org/spreadsheetml/2006/main" count="189" uniqueCount="120">
  <si>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</si>
  <si>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</si>
  <si>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</si>
  <si>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</si>
  <si>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</si>
  <si>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</si>
  <si>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</si>
  <si>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</si>
  <si>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</si>
  <si>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</si>
  <si>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</si>
  <si>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</si>
  <si>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</si>
  <si>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</si>
  <si>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</si>
  <si>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</si>
  <si>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</si>
  <si>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</si>
  <si>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</si>
  <si>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</si>
  <si>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</si>
  <si>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</si>
  <si>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</si>
  <si>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</si>
  <si>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</si>
  <si>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</si>
  <si>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</si>
  <si>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</si>
  <si>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</si>
  <si>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</si>
  <si>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</si>
  <si>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</si>
  <si>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</si>
  <si>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</si>
  <si>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</si>
  <si>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</si>
  <si>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</si>
  <si>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</si>
  <si>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</si>
  <si>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</si>
  <si>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</si>
  <si>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</si>
  <si>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</si>
  <si>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</si>
  <si>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</si>
  <si>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</si>
  <si>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</si>
  <si>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</si>
  <si>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>* CGs 88710 , 88711, 88712, 88713, 88714</t>
  </si>
  <si>
    <t>INSTITUTO DO CÂNCER DO ESTADO DE SÃO PAULO - ICESP</t>
  </si>
  <si>
    <t>CONTRATO DE GESTÃO N.º 01/2022</t>
  </si>
  <si>
    <t>ANO III - FEV/2024 A JAN/2025</t>
  </si>
  <si>
    <t>CONCILIAÇÃO BANCÁRIA (R$ MIL)</t>
  </si>
  <si>
    <t>SD 29/02/2024</t>
  </si>
  <si>
    <t>SD 31/03/2024</t>
  </si>
  <si>
    <t>SD 30/04/2024</t>
  </si>
  <si>
    <t>SD 31/05/2024</t>
  </si>
  <si>
    <t>SD 30/06/2024</t>
  </si>
  <si>
    <t>SD 31/07/2024</t>
  </si>
  <si>
    <t>SD 31/08/2024</t>
  </si>
  <si>
    <t>SD 30/09/2024</t>
  </si>
  <si>
    <t>SD 31/10/2024</t>
  </si>
  <si>
    <t>SD 30/11/2024</t>
  </si>
  <si>
    <t>SD 31/12/2024</t>
  </si>
  <si>
    <t>SD 31/01/2024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</si>
  <si>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</si>
  <si>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</si>
  <si>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</si>
  <si>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</si>
  <si>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</si>
  <si>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</si>
  <si>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</si>
  <si>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</si>
  <si>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</si>
  <si>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</si>
  <si>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</si>
  <si>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</si>
  <si>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</si>
  <si>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</si>
  <si>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</si>
  <si>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</si>
  <si>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</si>
  <si>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</si>
  <si>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</si>
  <si>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</si>
  <si>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</si>
  <si>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</si>
  <si>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</si>
  <si>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</si>
  <si>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</si>
  <si>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</si>
  <si>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</si>
  <si>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</si>
  <si>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</si>
  <si>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</si>
  <si>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</si>
  <si>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</si>
  <si>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</si>
  <si>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BENEFÍCIOS</t>
  </si>
  <si>
    <t>PROVISÕES PARA FÉRIAS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</si>
  <si>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</si>
  <si>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</si>
  <si>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</si>
  <si>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</si>
  <si>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</si>
  <si>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</si>
  <si>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</si>
  <si>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DEPRECIAÇÕES E AMORTIZAÇÕES</t>
  </si>
  <si>
    <t>RESULTADO NA BAIXA DE IMOBILIZADO</t>
  </si>
  <si>
    <t>UTILIDADES E SERVIÇOS</t>
  </si>
  <si>
    <t>PROVISÕES PARA RISCOS TRABALHISTAS</t>
  </si>
  <si>
    <t>OUTRAS DESPESAS</t>
  </si>
  <si>
    <t>RESULTADO OPERACIONAL</t>
  </si>
  <si>
    <t>RESULTADOS FINANCEIROS LÍQUIDOS</t>
  </si>
  <si>
    <t>RECEITAS FINANCEIRAS</t>
  </si>
  <si>
    <t>DESPESAS FINANCEIRAS</t>
  </si>
  <si>
    <t xml:space="preserve"> CENTROS DE GERENCIAMENTO OPERACIONAIS</t>
  </si>
  <si>
    <t>BALANÇO PATRIMONIAL EM 31/12/2024 (EM R$)</t>
  </si>
  <si>
    <t>DEMONSTRAÇÃO DOS RESULTADOS EM FEVEREIRO A DEZEMBRO/24 (EM R$)</t>
  </si>
  <si>
    <t>FLUXOS DE CAIXA DE FEVEREIRO A DEZEMBRO/2024 (R$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</si>
</sst>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8"/>
      <color rgb="FF3333FF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8" fillId="0" borderId="0">
      <alignment vertical="top"/>
    </xf>
    <xf numFmtId="43" fontId="38" fillId="0" borderId="0" applyFont="0" applyFill="0" applyBorder="0" applyAlignment="0" applyProtection="0"/>
    <xf numFmtId="0" fontId="41" fillId="0" borderId="0">
      <alignment vertical="top"/>
    </xf>
    <xf numFmtId="166" fontId="28" fillId="0" borderId="0" applyFont="0" applyFill="0" applyBorder="0" applyAlignment="0" applyProtection="0">
      <alignment vertical="top"/>
    </xf>
  </cellStyleXfs>
  <cellXfs count="1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8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 indent="2"/>
    </xf>
    <xf numFmtId="0" fontId="21" fillId="5" borderId="4" xfId="0" applyFont="1" applyFill="1" applyBorder="1" applyAlignment="1">
      <alignment horizontal="left" vertical="center" indent="2"/>
    </xf>
    <xf numFmtId="164" fontId="21" fillId="5" borderId="5" xfId="0" applyNumberFormat="1" applyFont="1" applyFill="1" applyBorder="1" applyAlignment="1">
      <alignment vertical="center"/>
    </xf>
    <xf numFmtId="0" fontId="23" fillId="6" borderId="4" xfId="0" applyFont="1" applyFill="1" applyBorder="1" applyAlignment="1">
      <alignment horizontal="left" vertical="center" indent="3"/>
    </xf>
    <xf numFmtId="165" fontId="23" fillId="6" borderId="5" xfId="0" applyNumberFormat="1" applyFont="1" applyFill="1" applyBorder="1" applyAlignment="1">
      <alignment vertical="center"/>
    </xf>
    <xf numFmtId="165" fontId="22" fillId="0" borderId="5" xfId="0" applyNumberFormat="1" applyFont="1" applyBorder="1" applyAlignment="1">
      <alignment vertical="center"/>
    </xf>
    <xf numFmtId="165" fontId="21" fillId="5" borderId="5" xfId="0" applyNumberFormat="1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3" fillId="6" borderId="0" xfId="0" applyFont="1" applyFill="1" applyAlignment="1">
      <alignment vertical="center"/>
    </xf>
    <xf numFmtId="0" fontId="21" fillId="6" borderId="4" xfId="0" applyFont="1" applyFill="1" applyBorder="1" applyAlignment="1">
      <alignment vertical="center"/>
    </xf>
    <xf numFmtId="164" fontId="21" fillId="6" borderId="5" xfId="0" applyNumberFormat="1" applyFont="1" applyFill="1" applyBorder="1" applyAlignment="1">
      <alignment vertical="center"/>
    </xf>
    <xf numFmtId="164" fontId="22" fillId="0" borderId="5" xfId="0" applyNumberFormat="1" applyFont="1" applyBorder="1" applyAlignment="1">
      <alignment vertical="center"/>
    </xf>
    <xf numFmtId="0" fontId="20" fillId="0" borderId="9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8" fontId="21" fillId="0" borderId="10" xfId="0" applyNumberFormat="1" applyFont="1" applyBorder="1" applyAlignment="1">
      <alignment vertical="center"/>
    </xf>
    <xf numFmtId="38" fontId="21" fillId="0" borderId="3" xfId="0" applyNumberFormat="1" applyFont="1" applyBorder="1" applyAlignment="1">
      <alignment vertical="center"/>
    </xf>
    <xf numFmtId="0" fontId="20" fillId="0" borderId="1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164" fontId="22" fillId="0" borderId="11" xfId="0" applyNumberFormat="1" applyFont="1" applyBorder="1" applyAlignment="1">
      <alignment vertical="center"/>
    </xf>
    <xf numFmtId="164" fontId="22" fillId="0" borderId="4" xfId="0" applyNumberFormat="1" applyFont="1" applyBorder="1" applyAlignment="1">
      <alignment vertical="center"/>
    </xf>
    <xf numFmtId="165" fontId="22" fillId="0" borderId="11" xfId="0" applyNumberFormat="1" applyFont="1" applyBorder="1" applyAlignment="1">
      <alignment vertical="center"/>
    </xf>
    <xf numFmtId="0" fontId="27" fillId="0" borderId="10" xfId="0" applyFont="1" applyBorder="1" applyAlignment="1">
      <alignment horizontal="right" vertical="center"/>
    </xf>
    <xf numFmtId="0" fontId="27" fillId="0" borderId="2" xfId="0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9" fillId="0" borderId="0" xfId="3" applyFont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38" fontId="30" fillId="0" borderId="2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8" xfId="0" applyFont="1" applyBorder="1" applyAlignment="1">
      <alignment horizontal="left" vertical="center" indent="2"/>
    </xf>
    <xf numFmtId="3" fontId="33" fillId="0" borderId="8" xfId="0" applyNumberFormat="1" applyFont="1" applyBorder="1" applyAlignment="1">
      <alignment vertical="center"/>
    </xf>
    <xf numFmtId="0" fontId="33" fillId="0" borderId="4" xfId="0" applyFont="1" applyBorder="1" applyAlignment="1">
      <alignment horizontal="left" vertical="center" wrapText="1" indent="3"/>
    </xf>
    <xf numFmtId="3" fontId="33" fillId="0" borderId="5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 indent="2"/>
    </xf>
    <xf numFmtId="0" fontId="35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0" fillId="7" borderId="6" xfId="0" applyFont="1" applyFill="1" applyBorder="1" applyAlignment="1">
      <alignment vertical="center"/>
    </xf>
    <xf numFmtId="0" fontId="30" fillId="7" borderId="0" xfId="0" applyFont="1" applyFill="1" applyAlignment="1">
      <alignment vertical="center"/>
    </xf>
    <xf numFmtId="164" fontId="30" fillId="7" borderId="7" xfId="0" applyNumberFormat="1" applyFont="1" applyFill="1" applyBorder="1" applyAlignment="1">
      <alignment vertical="center"/>
    </xf>
    <xf numFmtId="0" fontId="37" fillId="0" borderId="0" xfId="3" applyFont="1" applyAlignment="1">
      <alignment vertical="center"/>
    </xf>
    <xf numFmtId="43" fontId="37" fillId="0" borderId="0" xfId="4" applyFont="1" applyFill="1" applyBorder="1" applyAlignment="1" applyProtection="1">
      <alignment horizontal="right" vertical="center"/>
    </xf>
    <xf numFmtId="0" fontId="39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4" fontId="29" fillId="0" borderId="0" xfId="3" applyNumberFormat="1" applyFont="1" applyAlignment="1">
      <alignment horizontal="center" vertical="center"/>
    </xf>
    <xf numFmtId="43" fontId="40" fillId="0" borderId="0" xfId="4" applyFont="1" applyAlignment="1">
      <alignment horizontal="right" vertical="center"/>
    </xf>
    <xf numFmtId="4" fontId="37" fillId="0" borderId="0" xfId="4" applyNumberFormat="1" applyFont="1" applyFill="1" applyAlignment="1">
      <alignment horizontal="right" vertical="center"/>
    </xf>
    <xf numFmtId="4" fontId="37" fillId="0" borderId="0" xfId="3" applyNumberFormat="1" applyFont="1" applyAlignment="1">
      <alignment vertical="center"/>
    </xf>
    <xf numFmtId="0" fontId="40" fillId="0" borderId="0" xfId="3" applyFont="1" applyAlignment="1">
      <alignment horizontal="center" vertical="center"/>
    </xf>
    <xf numFmtId="0" fontId="42" fillId="8" borderId="0" xfId="5" applyFont="1" applyFill="1" applyAlignment="1">
      <alignment horizontal="right" vertical="center"/>
    </xf>
    <xf numFmtId="0" fontId="42" fillId="8" borderId="0" xfId="5" applyFont="1" applyFill="1" applyAlignment="1">
      <alignment horizontal="center" vertical="center"/>
    </xf>
    <xf numFmtId="0" fontId="43" fillId="9" borderId="0" xfId="3" applyFont="1" applyFill="1" applyAlignment="1">
      <alignment vertical="center"/>
    </xf>
    <xf numFmtId="3" fontId="43" fillId="9" borderId="0" xfId="4" applyNumberFormat="1" applyFont="1" applyFill="1" applyAlignment="1">
      <alignment horizontal="right" vertical="center"/>
    </xf>
    <xf numFmtId="0" fontId="43" fillId="10" borderId="0" xfId="3" applyFont="1" applyFill="1" applyAlignment="1">
      <alignment vertical="center"/>
    </xf>
    <xf numFmtId="3" fontId="43" fillId="1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1"/>
    </xf>
    <xf numFmtId="3" fontId="44" fillId="0" borderId="0" xfId="4" applyNumberFormat="1" applyFont="1" applyFill="1" applyAlignment="1">
      <alignment horizontal="right" vertical="center"/>
    </xf>
    <xf numFmtId="4" fontId="45" fillId="0" borderId="0" xfId="5" applyNumberFormat="1" applyFont="1">
      <alignment vertical="top"/>
    </xf>
    <xf numFmtId="166" fontId="37" fillId="0" borderId="0" xfId="6" applyFont="1" applyAlignment="1">
      <alignment vertical="center"/>
    </xf>
    <xf numFmtId="166" fontId="37" fillId="0" borderId="0" xfId="6" applyFont="1" applyFill="1" applyAlignment="1">
      <alignment vertical="center"/>
    </xf>
    <xf numFmtId="17" fontId="42" fillId="8" borderId="0" xfId="5" applyNumberFormat="1" applyFont="1" applyFill="1" applyAlignment="1">
      <alignment horizontal="right" vertical="center"/>
    </xf>
    <xf numFmtId="3" fontId="44" fillId="0" borderId="0" xfId="4" applyNumberFormat="1" applyFont="1" applyAlignment="1">
      <alignment horizontal="right" vertical="center"/>
    </xf>
    <xf numFmtId="0" fontId="43" fillId="11" borderId="0" xfId="3" applyFont="1" applyFill="1" applyAlignment="1">
      <alignment horizontal="left" vertical="center" indent="1"/>
    </xf>
    <xf numFmtId="0" fontId="44" fillId="0" borderId="0" xfId="3" applyFont="1" applyAlignment="1">
      <alignment horizontal="left" vertical="center" indent="2"/>
    </xf>
    <xf numFmtId="3" fontId="43" fillId="0" borderId="0" xfId="4" applyNumberFormat="1" applyFont="1" applyFill="1" applyAlignment="1">
      <alignment horizontal="right" vertical="center"/>
    </xf>
    <xf numFmtId="166" fontId="44" fillId="0" borderId="0" xfId="6" applyFont="1" applyFill="1" applyAlignment="1">
      <alignment horizontal="right" vertical="center"/>
    </xf>
    <xf numFmtId="0" fontId="43" fillId="0" borderId="0" xfId="3" applyFont="1" applyAlignment="1">
      <alignment vertical="center"/>
    </xf>
    <xf numFmtId="0" fontId="43" fillId="12" borderId="0" xfId="3" applyFont="1" applyFill="1" applyAlignment="1">
      <alignment vertical="center"/>
    </xf>
    <xf numFmtId="3" fontId="43" fillId="12" borderId="0" xfId="4" applyNumberFormat="1" applyFont="1" applyFill="1" applyAlignment="1">
      <alignment horizontal="right" vertical="center"/>
    </xf>
    <xf numFmtId="0" fontId="46" fillId="13" borderId="0" xfId="3" applyFont="1" applyFill="1" applyAlignment="1">
      <alignment vertical="center"/>
    </xf>
    <xf numFmtId="3" fontId="46" fillId="13" borderId="0" xfId="4" applyNumberFormat="1" applyFont="1" applyFill="1" applyAlignment="1">
      <alignment horizontal="right" vertical="center"/>
    </xf>
    <xf numFmtId="0" fontId="44" fillId="0" borderId="0" xfId="3" applyFont="1" applyAlignment="1">
      <alignment vertical="center"/>
    </xf>
    <xf numFmtId="3" fontId="44" fillId="0" borderId="0" xfId="3" applyNumberFormat="1" applyFont="1" applyAlignment="1">
      <alignment vertical="center"/>
    </xf>
    <xf numFmtId="166" fontId="44" fillId="0" borderId="0" xfId="6" applyFont="1" applyFill="1" applyAlignment="1">
      <alignment vertical="center"/>
    </xf>
    <xf numFmtId="43" fontId="44" fillId="0" borderId="0" xfId="3" applyNumberFormat="1" applyFont="1" applyAlignment="1">
      <alignment vertical="center"/>
    </xf>
    <xf numFmtId="0" fontId="43" fillId="0" borderId="0" xfId="3" applyFont="1" applyAlignment="1">
      <alignment horizontal="left" vertical="center" indent="1"/>
    </xf>
    <xf numFmtId="166" fontId="40" fillId="0" borderId="0" xfId="3" applyNumberFormat="1" applyFont="1" applyAlignment="1">
      <alignment vertical="center"/>
    </xf>
    <xf numFmtId="166" fontId="47" fillId="0" borderId="0" xfId="6" applyFont="1" applyFill="1" applyAlignment="1">
      <alignment vertical="center"/>
    </xf>
    <xf numFmtId="0" fontId="47" fillId="0" borderId="0" xfId="3" applyFont="1" applyAlignment="1">
      <alignment vertical="center"/>
    </xf>
    <xf numFmtId="4" fontId="44" fillId="0" borderId="0" xfId="3" applyNumberFormat="1" applyFont="1" applyAlignment="1">
      <alignment vertical="center"/>
    </xf>
    <xf numFmtId="4" fontId="47" fillId="0" borderId="0" xfId="3" applyNumberFormat="1" applyFont="1" applyAlignment="1">
      <alignment vertical="center"/>
    </xf>
    <xf numFmtId="0" fontId="19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29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7">
    <cellStyle name="Normal" xfId="0" builtinId="0"/>
    <cellStyle name="Normal 2" xfId="5" xr:uid="{3A873DEC-EBD0-41FD-A53A-A11102B120F0}"/>
    <cellStyle name="Normal 2 4 2" xfId="3" xr:uid="{AE5A92B7-84AA-423C-B3C8-B8C04167B71B}"/>
    <cellStyle name="Separador de milhares 3" xfId="1" xr:uid="{00000000-0005-0000-0000-000001000000}"/>
    <cellStyle name="Separador de milhares 4" xfId="2" xr:uid="{00000000-0005-0000-0000-000002000000}"/>
    <cellStyle name="Vírgula 2" xfId="4" xr:uid="{DEBC39C4-480C-4051-ADBB-F396EF41B77D}"/>
    <cellStyle name="Vírgula 3" xfId="6" xr:uid="{E4E05398-66E6-45A4-81D9-4E12E971101C}"/>
  </cellStyles>
  <dxfs count="0"/>
  <tableStyles count="0" defaultTableStyle="TableStyleMedium2" defaultPivotStyle="PivotStyleLight16"/>
  <colors>
    <mruColors>
      <color rgb="FF3333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11</xdr:col>
      <xdr:colOff>1035843</xdr:colOff>
      <xdr:row>0</xdr:row>
      <xdr:rowOff>727201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CA2CB6-1E5E-4653-B0E3-7E52806B0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6275842" cy="72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1309687</xdr:colOff>
      <xdr:row>0</xdr:row>
      <xdr:rowOff>738186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107F46-D5C5-40CF-B66A-977644C9E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16362" cy="738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857249</xdr:colOff>
      <xdr:row>1</xdr:row>
      <xdr:rowOff>27214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FE5C92-A40C-45A6-95E4-2E329B700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4030324" cy="960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476250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FB21B7-CED4-4A4D-8A57-5E32FA562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4201775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Presta&#231;&#227;o%20de%20Contas%20-%20HC-ICESP\2024\l%20dez24\c%20DFC-%20%20ICESP%20CTR%20GEST&#195;O%20DEZEMBRO%202024.xlsx" TargetMode="External"/><Relationship Id="rId1" Type="http://schemas.openxmlformats.org/officeDocument/2006/relationships/externalLinkPath" Target="/Controladoria/Projetos%20Controladoria/Subven&#231;&#245;es/HC-ICESP/Presta&#231;&#227;o%20de%20Contas%20-%20HC-ICESP/2024/l%20dez24/c%20DFC-%20%20ICESP%20CTR%20GEST&#195;O%20DEZ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ESP-CONSOLIDADO"/>
      <sheetName val="ICESP-CGs OP 88710_711"/>
      <sheetName val="ICESP-CGs OP 88700_701"/>
      <sheetName val="CONCILIAÇÃO"/>
      <sheetName val="ICESP-CGs NÃO OPERACIONAI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18EB-FB90-4752-B550-D5D2A5D9867A}">
  <dimension ref="A1:Q42"/>
  <sheetViews>
    <sheetView showGridLines="0"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20" sqref="A20"/>
    </sheetView>
  </sheetViews>
  <sheetFormatPr defaultColWidth="6.85546875" defaultRowHeight="15" customHeight="1" x14ac:dyDescent="0.25"/>
  <cols>
    <col min="1" max="1" width="66.42578125" style="100" customWidth="1"/>
    <col min="2" max="2" width="16.7109375" style="119" customWidth="1"/>
    <col min="3" max="6" width="16.7109375" style="100" customWidth="1"/>
    <col min="7" max="12" width="15.7109375" style="100" customWidth="1"/>
    <col min="13" max="13" width="15.7109375" style="100" hidden="1" customWidth="1"/>
    <col min="14" max="14" width="2.7109375" style="100" customWidth="1"/>
    <col min="15" max="15" width="16.42578125" style="100" customWidth="1"/>
    <col min="16" max="16" width="14.28515625" style="100" customWidth="1"/>
    <col min="17" max="17" width="13.85546875" style="100" customWidth="1"/>
    <col min="18" max="16384" width="6.85546875" style="100"/>
  </cols>
  <sheetData>
    <row r="1" spans="1:17" ht="69.95" customHeight="1" x14ac:dyDescent="0.25">
      <c r="B1" s="101"/>
    </row>
    <row r="2" spans="1:17" s="102" customFormat="1" ht="18" customHeight="1" x14ac:dyDescent="0.25">
      <c r="A2" s="141" t="s">
        <v>49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7" s="102" customFormat="1" ht="15" customHeight="1" x14ac:dyDescent="0.25">
      <c r="A3" s="142" t="s">
        <v>50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O3" s="103"/>
    </row>
    <row r="4" spans="1:17" s="102" customFormat="1" ht="15" customHeight="1" x14ac:dyDescent="0.25">
      <c r="A4" s="143" t="s">
        <v>51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O4" s="103"/>
    </row>
    <row r="5" spans="1:17" s="102" customFormat="1" ht="15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O5" s="103"/>
    </row>
    <row r="6" spans="1:17" s="102" customFormat="1" ht="15" customHeight="1" x14ac:dyDescent="0.25">
      <c r="A6" s="142" t="s">
        <v>116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O6" s="103"/>
    </row>
    <row r="7" spans="1:17" s="102" customFormat="1" ht="18" customHeight="1" x14ac:dyDescent="0.25">
      <c r="N7" s="104"/>
    </row>
    <row r="8" spans="1:17" s="103" customFormat="1" ht="18" customHeight="1" x14ac:dyDescent="0.25">
      <c r="A8" s="143" t="s">
        <v>117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</row>
    <row r="9" spans="1:17" ht="18" customHeight="1" x14ac:dyDescent="0.25">
      <c r="B9" s="105"/>
      <c r="C9" s="105"/>
      <c r="D9" s="105"/>
      <c r="E9" s="105"/>
      <c r="F9" s="105"/>
      <c r="G9" s="106"/>
      <c r="H9" s="105"/>
      <c r="I9" s="105"/>
      <c r="J9" s="105"/>
      <c r="K9" s="105"/>
      <c r="L9" s="105"/>
      <c r="N9" s="107"/>
    </row>
    <row r="10" spans="1:17" ht="18" customHeight="1" x14ac:dyDescent="0.25">
      <c r="A10" s="108"/>
      <c r="B10" s="109" t="s">
        <v>53</v>
      </c>
      <c r="C10" s="110" t="s">
        <v>54</v>
      </c>
      <c r="D10" s="110" t="s">
        <v>55</v>
      </c>
      <c r="E10" s="110" t="s">
        <v>56</v>
      </c>
      <c r="F10" s="110" t="s">
        <v>57</v>
      </c>
      <c r="G10" s="110" t="s">
        <v>58</v>
      </c>
      <c r="H10" s="110" t="s">
        <v>59</v>
      </c>
      <c r="I10" s="110" t="s">
        <v>60</v>
      </c>
      <c r="J10" s="110" t="s">
        <v>61</v>
      </c>
      <c r="K10" s="110" t="s">
        <v>62</v>
      </c>
      <c r="L10" s="110" t="s">
        <v>63</v>
      </c>
      <c r="M10" s="110" t="s">
        <v>64</v>
      </c>
    </row>
    <row r="11" spans="1:17" ht="18" customHeight="1" x14ac:dyDescent="0.25">
      <c r="B11" s="100"/>
    </row>
    <row r="12" spans="1:17" ht="18" customHeight="1" x14ac:dyDescent="0.25">
      <c r="A12" s="111" t="s">
        <v>65</v>
      </c>
      <c r="B12" s="112">
        <f t="shared" ref="B12:M12" si="0">B13+B21</f>
        <v>84476660.109999999</v>
      </c>
      <c r="C12" s="112">
        <f t="shared" si="0"/>
        <v>95178585.110000014</v>
      </c>
      <c r="D12" s="112">
        <f t="shared" si="0"/>
        <v>104949568.26000002</v>
      </c>
      <c r="E12" s="112">
        <f t="shared" si="0"/>
        <v>110383381.80000001</v>
      </c>
      <c r="F12" s="112">
        <f t="shared" si="0"/>
        <v>112864715.67</v>
      </c>
      <c r="G12" s="112">
        <f t="shared" si="0"/>
        <v>113187916.39000002</v>
      </c>
      <c r="H12" s="112">
        <f t="shared" si="0"/>
        <v>118009888.74000001</v>
      </c>
      <c r="I12" s="112">
        <f t="shared" si="0"/>
        <v>123228770.86000001</v>
      </c>
      <c r="J12" s="112">
        <f t="shared" si="0"/>
        <v>123012768.12000002</v>
      </c>
      <c r="K12" s="112">
        <f t="shared" si="0"/>
        <v>107711358.45000002</v>
      </c>
      <c r="L12" s="112">
        <f t="shared" si="0"/>
        <v>93687880.090000004</v>
      </c>
      <c r="M12" s="112">
        <f t="shared" si="0"/>
        <v>0</v>
      </c>
      <c r="N12" s="107"/>
      <c r="O12" s="107"/>
      <c r="P12" s="107"/>
      <c r="Q12" s="107"/>
    </row>
    <row r="13" spans="1:17" ht="18" customHeight="1" x14ac:dyDescent="0.25">
      <c r="A13" s="113" t="s">
        <v>66</v>
      </c>
      <c r="B13" s="114">
        <f t="shared" ref="B13:M13" si="1">SUM(B14:B20)</f>
        <v>74499265.010000005</v>
      </c>
      <c r="C13" s="114">
        <f t="shared" si="1"/>
        <v>84019688.480000019</v>
      </c>
      <c r="D13" s="114">
        <f t="shared" si="1"/>
        <v>93825124.990000024</v>
      </c>
      <c r="E13" s="114">
        <f t="shared" si="1"/>
        <v>99344392.000000015</v>
      </c>
      <c r="F13" s="114">
        <f t="shared" si="1"/>
        <v>101704496.01000001</v>
      </c>
      <c r="G13" s="114">
        <f t="shared" si="1"/>
        <v>101158608.44000001</v>
      </c>
      <c r="H13" s="114">
        <f t="shared" si="1"/>
        <v>105993682.52000001</v>
      </c>
      <c r="I13" s="114">
        <f t="shared" si="1"/>
        <v>111195189.76000002</v>
      </c>
      <c r="J13" s="114">
        <f t="shared" si="1"/>
        <v>110824417.93000002</v>
      </c>
      <c r="K13" s="114">
        <f t="shared" si="1"/>
        <v>102434456.14000002</v>
      </c>
      <c r="L13" s="114">
        <f>SUM(L14:L20)</f>
        <v>88625672.560000002</v>
      </c>
      <c r="M13" s="114">
        <f t="shared" si="1"/>
        <v>0</v>
      </c>
      <c r="O13" s="107"/>
      <c r="P13" s="107"/>
      <c r="Q13" s="107"/>
    </row>
    <row r="14" spans="1:17" ht="18" customHeight="1" x14ac:dyDescent="0.25">
      <c r="A14" s="115" t="s">
        <v>67</v>
      </c>
      <c r="B14" s="116">
        <v>2500</v>
      </c>
      <c r="C14" s="116">
        <v>2500</v>
      </c>
      <c r="D14" s="116">
        <v>2500</v>
      </c>
      <c r="E14" s="116">
        <v>2500</v>
      </c>
      <c r="F14" s="116">
        <v>2500</v>
      </c>
      <c r="G14" s="116">
        <v>2500</v>
      </c>
      <c r="H14" s="116">
        <v>2500</v>
      </c>
      <c r="I14" s="116">
        <v>2500</v>
      </c>
      <c r="J14" s="116">
        <v>2500</v>
      </c>
      <c r="K14" s="116">
        <v>2500</v>
      </c>
      <c r="L14" s="116">
        <v>2500</v>
      </c>
      <c r="M14" s="116"/>
    </row>
    <row r="15" spans="1:17" ht="18" customHeight="1" x14ac:dyDescent="0.25">
      <c r="A15" s="115" t="s">
        <v>68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16"/>
      <c r="O15" s="107"/>
    </row>
    <row r="16" spans="1:17" ht="18" customHeight="1" x14ac:dyDescent="0.25">
      <c r="A16" s="115" t="s">
        <v>69</v>
      </c>
      <c r="B16" s="116">
        <v>28180427.350000005</v>
      </c>
      <c r="C16" s="116">
        <v>34577068.550000012</v>
      </c>
      <c r="D16" s="116">
        <v>40588136.060000017</v>
      </c>
      <c r="E16" s="116">
        <v>42849867.290000021</v>
      </c>
      <c r="F16" s="116">
        <v>41753728.310000017</v>
      </c>
      <c r="G16" s="116">
        <v>39496418.660000011</v>
      </c>
      <c r="H16" s="116">
        <v>41255633.110000014</v>
      </c>
      <c r="I16" s="116">
        <v>44000697.070000015</v>
      </c>
      <c r="J16" s="116">
        <v>42648484.660000011</v>
      </c>
      <c r="K16" s="116">
        <v>29798347.000000015</v>
      </c>
      <c r="L16" s="116">
        <v>15910944.170000009</v>
      </c>
      <c r="M16" s="116"/>
      <c r="O16" s="107"/>
      <c r="P16" s="107"/>
    </row>
    <row r="17" spans="1:17" ht="18" customHeight="1" x14ac:dyDescent="0.25">
      <c r="A17" s="115" t="s">
        <v>70</v>
      </c>
      <c r="B17" s="116">
        <f>15646916.71+2540399.33</f>
        <v>18187316.039999999</v>
      </c>
      <c r="C17" s="116">
        <f>14682002.89+2540399.33+2540399.33</f>
        <v>19762801.549999997</v>
      </c>
      <c r="D17" s="116">
        <f>13753198.12+2540399.33+2540399.33+2540399.33</f>
        <v>21374396.109999999</v>
      </c>
      <c r="E17" s="116">
        <f>12828373.87+2540399.33+2540399.33+2540399.33+2540399.33</f>
        <v>22989971.189999998</v>
      </c>
      <c r="F17" s="116">
        <f>11965715.4+2540399.33+2540399.33+2540399.33+2540399.33+2540399.33</f>
        <v>24667712.049999997</v>
      </c>
      <c r="G17" s="116">
        <f>11152356.89+2540399.33+2540399.33+2540399.33+2540399.33+2540399.33+2540399.33</f>
        <v>26394752.869999997</v>
      </c>
      <c r="H17" s="116">
        <f>10413771.79+2540399.33+2540399.33+2540399.33+2540399.33+2540399.33+2540399.33+2540399.33</f>
        <v>28196567.099999994</v>
      </c>
      <c r="I17" s="116">
        <f>9612815.93999999+2540399.33+2540399.33+2540399.33+2540399.33+2540399.33+2540399.33+2540399.33+2540399.33</f>
        <v>29936010.579999983</v>
      </c>
      <c r="J17" s="116">
        <f>8520169.43000001+2540399.33+2540399.33+2540399.33+2540399.33+2540399.33+2540399.33+2540399.33+2540399.33+2540399.33</f>
        <v>31383763.400000006</v>
      </c>
      <c r="K17" s="116">
        <f>7544158.33000001+2540399.33+2540399.33+2540399.33+2540399.33+2540399.33+2540399.33+2540399.33+2540399.33+2540399.33+2540399.33</f>
        <v>32948151.630000003</v>
      </c>
      <c r="L17" s="116">
        <f>34625851.15</f>
        <v>34625851.149999999</v>
      </c>
      <c r="M17" s="116"/>
      <c r="N17" s="107"/>
      <c r="O17" s="107"/>
      <c r="P17" s="107"/>
    </row>
    <row r="18" spans="1:17" ht="18" customHeight="1" x14ac:dyDescent="0.25">
      <c r="A18" s="115" t="s">
        <v>71</v>
      </c>
      <c r="B18" s="116">
        <v>25843364.590000004</v>
      </c>
      <c r="C18" s="116">
        <v>26507560.510000002</v>
      </c>
      <c r="D18" s="116">
        <v>29286619.740000006</v>
      </c>
      <c r="E18" s="116">
        <v>30132254.390000004</v>
      </c>
      <c r="F18" s="116">
        <v>31192993.380000003</v>
      </c>
      <c r="G18" s="116">
        <v>32140914.91</v>
      </c>
      <c r="H18" s="116">
        <v>32938464.640000001</v>
      </c>
      <c r="I18" s="116">
        <v>33918285.43</v>
      </c>
      <c r="J18" s="116">
        <v>34297016.420000009</v>
      </c>
      <c r="K18" s="116">
        <v>36350616.729999989</v>
      </c>
      <c r="L18" s="116">
        <v>35994093.239999995</v>
      </c>
      <c r="M18" s="116"/>
      <c r="O18" s="107"/>
    </row>
    <row r="19" spans="1:17" ht="18" customHeight="1" x14ac:dyDescent="0.25">
      <c r="A19" s="115" t="s">
        <v>72</v>
      </c>
      <c r="B19" s="116">
        <v>316681.67000000004</v>
      </c>
      <c r="C19" s="116">
        <v>254416.87</v>
      </c>
      <c r="D19" s="116">
        <v>310055.67000000004</v>
      </c>
      <c r="E19" s="116">
        <v>315941.57999999996</v>
      </c>
      <c r="F19" s="116">
        <v>614959.10000000009</v>
      </c>
      <c r="G19" s="116">
        <v>542479.76</v>
      </c>
      <c r="H19" s="116">
        <v>535947.76</v>
      </c>
      <c r="I19" s="116">
        <v>451236.39000000007</v>
      </c>
      <c r="J19" s="116">
        <v>365069.95</v>
      </c>
      <c r="K19" s="116">
        <v>304286.66000000003</v>
      </c>
      <c r="L19" s="116">
        <v>473271.07</v>
      </c>
      <c r="M19" s="116"/>
    </row>
    <row r="20" spans="1:17" ht="18" customHeight="1" x14ac:dyDescent="0.25">
      <c r="A20" s="115" t="s">
        <v>73</v>
      </c>
      <c r="B20" s="116">
        <v>1968975.36</v>
      </c>
      <c r="C20" s="116">
        <v>2915341</v>
      </c>
      <c r="D20" s="116">
        <v>2263417.41</v>
      </c>
      <c r="E20" s="116">
        <v>3053857.55</v>
      </c>
      <c r="F20" s="116">
        <v>3472603.17</v>
      </c>
      <c r="G20" s="116">
        <v>2581542.2399999998</v>
      </c>
      <c r="H20" s="116">
        <v>3064569.91</v>
      </c>
      <c r="I20" s="116">
        <v>2886460.29</v>
      </c>
      <c r="J20" s="116">
        <v>2127583.4999999995</v>
      </c>
      <c r="K20" s="116">
        <v>3030554.12</v>
      </c>
      <c r="L20" s="116">
        <v>1619012.93</v>
      </c>
      <c r="M20" s="116"/>
      <c r="P20" s="107"/>
    </row>
    <row r="21" spans="1:17" ht="18" customHeight="1" x14ac:dyDescent="0.25">
      <c r="A21" s="113" t="s">
        <v>74</v>
      </c>
      <c r="B21" s="114">
        <f t="shared" ref="B21:G21" si="2">SUM(B22:B24)</f>
        <v>9977395.0999999996</v>
      </c>
      <c r="C21" s="114">
        <f t="shared" si="2"/>
        <v>11158896.630000001</v>
      </c>
      <c r="D21" s="114">
        <f t="shared" si="2"/>
        <v>11124443.270000003</v>
      </c>
      <c r="E21" s="114">
        <f t="shared" si="2"/>
        <v>11038989.800000004</v>
      </c>
      <c r="F21" s="114">
        <f t="shared" si="2"/>
        <v>11160219.660000002</v>
      </c>
      <c r="G21" s="114">
        <f t="shared" si="2"/>
        <v>12029307.950000003</v>
      </c>
      <c r="H21" s="114">
        <f t="shared" ref="H21:I21" si="3">SUM(H22:H24)</f>
        <v>12016206.220000003</v>
      </c>
      <c r="I21" s="114">
        <f t="shared" si="3"/>
        <v>12033581.1</v>
      </c>
      <c r="J21" s="114">
        <f>SUM(J22:J24)</f>
        <v>12188350.190000003</v>
      </c>
      <c r="K21" s="114">
        <f t="shared" ref="K21:M21" si="4">SUM(K22:K24)</f>
        <v>5276902.3099999987</v>
      </c>
      <c r="L21" s="114">
        <f t="shared" si="4"/>
        <v>5062207.5299999993</v>
      </c>
      <c r="M21" s="114">
        <f t="shared" si="4"/>
        <v>0</v>
      </c>
      <c r="O21" s="107"/>
      <c r="P21" s="107"/>
      <c r="Q21" s="107"/>
    </row>
    <row r="22" spans="1:17" ht="18" customHeight="1" x14ac:dyDescent="0.25">
      <c r="A22" s="115" t="s">
        <v>75</v>
      </c>
      <c r="B22" s="116">
        <v>416060.8</v>
      </c>
      <c r="C22" s="116">
        <v>366230.65</v>
      </c>
      <c r="D22" s="116">
        <v>375788.20000000007</v>
      </c>
      <c r="E22" s="116">
        <v>365073.69</v>
      </c>
      <c r="F22" s="116">
        <v>355462.25999999995</v>
      </c>
      <c r="G22" s="116">
        <v>357417.99</v>
      </c>
      <c r="H22" s="116">
        <v>412035.95999999996</v>
      </c>
      <c r="I22" s="116">
        <v>434267.41000000003</v>
      </c>
      <c r="J22" s="116">
        <v>436372.05000000005</v>
      </c>
      <c r="K22" s="116">
        <v>425430.56999999995</v>
      </c>
      <c r="L22" s="116">
        <v>418162.16</v>
      </c>
      <c r="M22" s="116"/>
    </row>
    <row r="23" spans="1:17" ht="18" customHeight="1" x14ac:dyDescent="0.25">
      <c r="A23" s="115" t="s">
        <v>72</v>
      </c>
      <c r="B23" s="116">
        <v>84608.92</v>
      </c>
      <c r="C23" s="116">
        <v>81601.03</v>
      </c>
      <c r="D23" s="116">
        <v>78593.14</v>
      </c>
      <c r="E23" s="116">
        <v>75585.25</v>
      </c>
      <c r="F23" s="116">
        <v>72577.36</v>
      </c>
      <c r="G23" s="116">
        <v>69569.47</v>
      </c>
      <c r="H23" s="116">
        <v>66561.58</v>
      </c>
      <c r="I23" s="116">
        <v>63553.69</v>
      </c>
      <c r="J23" s="116">
        <v>60545.8</v>
      </c>
      <c r="K23" s="116">
        <v>57537.91</v>
      </c>
      <c r="L23" s="116">
        <v>54530.020000000004</v>
      </c>
      <c r="M23" s="116"/>
    </row>
    <row r="24" spans="1:17" ht="18" customHeight="1" x14ac:dyDescent="0.25">
      <c r="A24" s="115" t="s">
        <v>76</v>
      </c>
      <c r="B24" s="116">
        <v>9476725.379999999</v>
      </c>
      <c r="C24" s="116">
        <v>10711064.950000001</v>
      </c>
      <c r="D24" s="116">
        <v>10670061.930000003</v>
      </c>
      <c r="E24" s="116">
        <v>10598330.860000005</v>
      </c>
      <c r="F24" s="116">
        <v>10732180.040000003</v>
      </c>
      <c r="G24" s="116">
        <v>11602320.490000002</v>
      </c>
      <c r="H24" s="116">
        <v>11537608.680000003</v>
      </c>
      <c r="I24" s="116">
        <v>11535760</v>
      </c>
      <c r="J24" s="116">
        <v>11691432.340000004</v>
      </c>
      <c r="K24" s="116">
        <v>4793933.8299999982</v>
      </c>
      <c r="L24" s="116">
        <v>4589515.3499999996</v>
      </c>
      <c r="M24" s="116"/>
      <c r="O24" s="117"/>
      <c r="P24" s="117"/>
      <c r="Q24" s="107"/>
    </row>
    <row r="25" spans="1:17" ht="18" customHeight="1" x14ac:dyDescent="0.25">
      <c r="A25" s="111" t="s">
        <v>77</v>
      </c>
      <c r="B25" s="112">
        <f t="shared" ref="B25:M25" si="5">B26+B33+B36</f>
        <v>84476660.10999997</v>
      </c>
      <c r="C25" s="112">
        <f t="shared" si="5"/>
        <v>95178585.109999985</v>
      </c>
      <c r="D25" s="112">
        <f t="shared" si="5"/>
        <v>104949568.25999998</v>
      </c>
      <c r="E25" s="112">
        <f t="shared" si="5"/>
        <v>110383381.79999997</v>
      </c>
      <c r="F25" s="112">
        <f t="shared" si="5"/>
        <v>112864715.67999999</v>
      </c>
      <c r="G25" s="112">
        <f t="shared" si="5"/>
        <v>113187916.43999997</v>
      </c>
      <c r="H25" s="112">
        <f t="shared" si="5"/>
        <v>118009888.78999999</v>
      </c>
      <c r="I25" s="112">
        <f t="shared" si="5"/>
        <v>123228770.91</v>
      </c>
      <c r="J25" s="112">
        <f t="shared" si="5"/>
        <v>123012768.17000005</v>
      </c>
      <c r="K25" s="112">
        <f t="shared" si="5"/>
        <v>107711358.45000003</v>
      </c>
      <c r="L25" s="112">
        <f t="shared" si="5"/>
        <v>93687880.090000004</v>
      </c>
      <c r="M25" s="112">
        <f t="shared" si="5"/>
        <v>2939268.0399999968</v>
      </c>
      <c r="N25" s="107"/>
      <c r="O25" s="107"/>
      <c r="P25" s="107"/>
      <c r="Q25" s="107"/>
    </row>
    <row r="26" spans="1:17" ht="18" customHeight="1" x14ac:dyDescent="0.25">
      <c r="A26" s="113" t="s">
        <v>66</v>
      </c>
      <c r="B26" s="114">
        <f t="shared" ref="B26:M26" si="6">SUM(B27:B32)</f>
        <v>104743936.53999999</v>
      </c>
      <c r="C26" s="114">
        <f t="shared" si="6"/>
        <v>113914790.80999999</v>
      </c>
      <c r="D26" s="114">
        <f t="shared" si="6"/>
        <v>122841088.16</v>
      </c>
      <c r="E26" s="114">
        <f t="shared" si="6"/>
        <v>129872090.87999998</v>
      </c>
      <c r="F26" s="114">
        <f t="shared" si="6"/>
        <v>133003800.09</v>
      </c>
      <c r="G26" s="114">
        <f t="shared" si="6"/>
        <v>129406574.39999999</v>
      </c>
      <c r="H26" s="114">
        <f t="shared" si="6"/>
        <v>131904124.50999998</v>
      </c>
      <c r="I26" s="114">
        <f t="shared" si="6"/>
        <v>137899908.30000001</v>
      </c>
      <c r="J26" s="114">
        <f>SUM(J27:J32)</f>
        <v>141704894.12000003</v>
      </c>
      <c r="K26" s="114">
        <f t="shared" si="6"/>
        <v>135775132.21000004</v>
      </c>
      <c r="L26" s="114">
        <f t="shared" si="6"/>
        <v>118796028.31000002</v>
      </c>
      <c r="M26" s="114">
        <f t="shared" si="6"/>
        <v>0</v>
      </c>
      <c r="N26" s="118"/>
      <c r="O26" s="107"/>
      <c r="P26" s="107"/>
    </row>
    <row r="27" spans="1:17" ht="18" customHeight="1" x14ac:dyDescent="0.25">
      <c r="A27" s="115" t="s">
        <v>78</v>
      </c>
      <c r="B27" s="116">
        <v>15896907.090000004</v>
      </c>
      <c r="C27" s="116">
        <f>18478559.02-0.05</f>
        <v>18478558.969999999</v>
      </c>
      <c r="D27" s="116">
        <v>22513183.270000003</v>
      </c>
      <c r="E27" s="116">
        <v>25635374.049999997</v>
      </c>
      <c r="F27" s="116">
        <v>25483159.460000001</v>
      </c>
      <c r="G27" s="116">
        <v>21689108.020000003</v>
      </c>
      <c r="H27" s="116">
        <v>21887693.950000003</v>
      </c>
      <c r="I27" s="116">
        <v>23984065.900000002</v>
      </c>
      <c r="J27" s="116">
        <v>22774951.990000002</v>
      </c>
      <c r="K27" s="116">
        <v>22882185.010000002</v>
      </c>
      <c r="L27" s="116">
        <v>22255638</v>
      </c>
      <c r="M27" s="116"/>
    </row>
    <row r="28" spans="1:17" ht="18" customHeight="1" x14ac:dyDescent="0.25">
      <c r="A28" s="115" t="s">
        <v>79</v>
      </c>
      <c r="B28" s="116">
        <v>7871286.3000000007</v>
      </c>
      <c r="C28" s="116">
        <v>10584168.149999999</v>
      </c>
      <c r="D28" s="116">
        <v>10369000.700000001</v>
      </c>
      <c r="E28" s="116">
        <v>12574178.069999998</v>
      </c>
      <c r="F28" s="116">
        <v>11747354.67</v>
      </c>
      <c r="G28" s="116">
        <v>11501570.279999999</v>
      </c>
      <c r="H28" s="116">
        <v>9821278.4499999993</v>
      </c>
      <c r="I28" s="116">
        <v>10769940.969999999</v>
      </c>
      <c r="J28" s="116">
        <v>9699468.0600000005</v>
      </c>
      <c r="K28" s="116">
        <v>9933028.6500000004</v>
      </c>
      <c r="L28" s="116">
        <v>9164158.5299999993</v>
      </c>
      <c r="M28" s="116"/>
      <c r="O28" s="107"/>
    </row>
    <row r="29" spans="1:17" ht="18" customHeight="1" x14ac:dyDescent="0.25">
      <c r="A29" s="115" t="s">
        <v>80</v>
      </c>
      <c r="B29" s="116">
        <v>67932936.919999987</v>
      </c>
      <c r="C29" s="116">
        <v>70190348.679999992</v>
      </c>
      <c r="D29" s="116">
        <v>73192878.310000002</v>
      </c>
      <c r="E29" s="116">
        <v>76038716.420000002</v>
      </c>
      <c r="F29" s="116">
        <v>80116971.790000007</v>
      </c>
      <c r="G29" s="116">
        <v>80865721.420000002</v>
      </c>
      <c r="H29" s="116">
        <v>84262142.859999985</v>
      </c>
      <c r="I29" s="116">
        <v>87549912</v>
      </c>
      <c r="J29" s="116">
        <v>90108549.400000006</v>
      </c>
      <c r="K29" s="116">
        <v>81910293.440000013</v>
      </c>
      <c r="L29" s="116">
        <v>66648025.839999996</v>
      </c>
      <c r="M29" s="116"/>
    </row>
    <row r="30" spans="1:17" ht="18" customHeight="1" x14ac:dyDescent="0.25">
      <c r="A30" s="115" t="s">
        <v>81</v>
      </c>
      <c r="B30" s="116">
        <v>7477570.4199999999</v>
      </c>
      <c r="C30" s="116">
        <v>7899530.040000001</v>
      </c>
      <c r="D30" s="116">
        <v>7494965.3499999996</v>
      </c>
      <c r="E30" s="116">
        <v>8074792.6300000008</v>
      </c>
      <c r="F30" s="116">
        <v>7982357.1000000015</v>
      </c>
      <c r="G30" s="116">
        <v>7912675.7300000004</v>
      </c>
      <c r="H30" s="116">
        <v>7628251.1000000006</v>
      </c>
      <c r="I30" s="116">
        <v>7910414.1600000011</v>
      </c>
      <c r="J30" s="116">
        <v>8223190.040000001</v>
      </c>
      <c r="K30" s="116">
        <v>8073026.6500000013</v>
      </c>
      <c r="L30" s="116">
        <v>11289334.760000002</v>
      </c>
      <c r="M30" s="116"/>
    </row>
    <row r="31" spans="1:17" ht="18" customHeight="1" x14ac:dyDescent="0.25">
      <c r="A31" s="115" t="s">
        <v>82</v>
      </c>
      <c r="B31" s="116">
        <v>2989527.87</v>
      </c>
      <c r="C31" s="116">
        <v>4130396.96</v>
      </c>
      <c r="D31" s="116">
        <v>4742448.1900000004</v>
      </c>
      <c r="E31" s="116">
        <v>4684331.1100000003</v>
      </c>
      <c r="F31" s="116">
        <v>4810209.3500000006</v>
      </c>
      <c r="G31" s="116">
        <v>4429150.8199999994</v>
      </c>
      <c r="H31" s="116">
        <v>5158618.4399999995</v>
      </c>
      <c r="I31" s="116">
        <v>3789705.6799999997</v>
      </c>
      <c r="J31" s="116">
        <v>3419522.8899999997</v>
      </c>
      <c r="K31" s="116">
        <v>4942789.8299999991</v>
      </c>
      <c r="L31" s="116">
        <v>3350185.67</v>
      </c>
      <c r="M31" s="116"/>
    </row>
    <row r="32" spans="1:17" ht="18" customHeight="1" x14ac:dyDescent="0.25">
      <c r="A32" s="115" t="s">
        <v>83</v>
      </c>
      <c r="B32" s="116">
        <v>2575707.9400000004</v>
      </c>
      <c r="C32" s="116">
        <v>2631788.0099999998</v>
      </c>
      <c r="D32" s="116">
        <v>4528612.3400000008</v>
      </c>
      <c r="E32" s="116">
        <v>2864698.6000000006</v>
      </c>
      <c r="F32" s="116">
        <v>2863747.7200000007</v>
      </c>
      <c r="G32" s="116">
        <v>3008348.1300000004</v>
      </c>
      <c r="H32" s="116">
        <v>3146139.71</v>
      </c>
      <c r="I32" s="116">
        <v>3895869.59</v>
      </c>
      <c r="J32" s="116">
        <v>7479211.7400000002</v>
      </c>
      <c r="K32" s="116">
        <v>8033808.6299999999</v>
      </c>
      <c r="L32" s="116">
        <v>6088685.5099999998</v>
      </c>
      <c r="M32" s="116"/>
    </row>
    <row r="33" spans="1:17" ht="18" customHeight="1" x14ac:dyDescent="0.25">
      <c r="A33" s="113" t="s">
        <v>84</v>
      </c>
      <c r="B33" s="114">
        <f t="shared" ref="B33:G33" si="7">SUM(B34:B35)</f>
        <v>8906899.9900000002</v>
      </c>
      <c r="C33" s="114">
        <f t="shared" si="7"/>
        <v>8040403.8100000005</v>
      </c>
      <c r="D33" s="114">
        <f t="shared" si="7"/>
        <v>8024776.8200000003</v>
      </c>
      <c r="E33" s="114">
        <f t="shared" si="7"/>
        <v>7966894.7599999998</v>
      </c>
      <c r="F33" s="114">
        <f t="shared" si="7"/>
        <v>7945806.0899999999</v>
      </c>
      <c r="G33" s="114">
        <f t="shared" si="7"/>
        <v>7712177.6500000004</v>
      </c>
      <c r="H33" s="114">
        <f t="shared" ref="H33:M33" si="8">SUM(H34:H35)</f>
        <v>7696619.9100000001</v>
      </c>
      <c r="I33" s="114">
        <f t="shared" si="8"/>
        <v>7657154.0699999994</v>
      </c>
      <c r="J33" s="114">
        <f t="shared" si="8"/>
        <v>7785812.1400000006</v>
      </c>
      <c r="K33" s="114">
        <f t="shared" si="8"/>
        <v>7883655.8299999991</v>
      </c>
      <c r="L33" s="114">
        <f t="shared" si="8"/>
        <v>7895201.2800000012</v>
      </c>
      <c r="M33" s="114">
        <f t="shared" si="8"/>
        <v>0</v>
      </c>
      <c r="O33" s="107"/>
      <c r="P33" s="107"/>
      <c r="Q33" s="107"/>
    </row>
    <row r="34" spans="1:17" ht="18" customHeight="1" x14ac:dyDescent="0.25">
      <c r="A34" s="115" t="s">
        <v>82</v>
      </c>
      <c r="B34" s="116">
        <v>6578991.4000000004</v>
      </c>
      <c r="C34" s="116">
        <v>5739547.8100000005</v>
      </c>
      <c r="D34" s="116">
        <v>5719942.9199999999</v>
      </c>
      <c r="E34" s="116">
        <v>5654234.5999999996</v>
      </c>
      <c r="F34" s="116">
        <v>5623392.2400000002</v>
      </c>
      <c r="G34" s="116">
        <v>5384455.9700000007</v>
      </c>
      <c r="H34" s="116">
        <v>5363362.7700000005</v>
      </c>
      <c r="I34" s="116">
        <v>5326941.1499999994</v>
      </c>
      <c r="J34" s="116">
        <v>5303819.2600000007</v>
      </c>
      <c r="K34" s="116">
        <v>5583465.5699999994</v>
      </c>
      <c r="L34" s="116">
        <v>5578619.2500000009</v>
      </c>
      <c r="M34" s="116"/>
    </row>
    <row r="35" spans="1:17" ht="18" customHeight="1" x14ac:dyDescent="0.25">
      <c r="A35" s="115" t="s">
        <v>85</v>
      </c>
      <c r="B35" s="116">
        <v>2327908.5900000003</v>
      </c>
      <c r="C35" s="116">
        <v>2300856</v>
      </c>
      <c r="D35" s="116">
        <v>2304833.9</v>
      </c>
      <c r="E35" s="116">
        <v>2312660.16</v>
      </c>
      <c r="F35" s="116">
        <v>2322413.85</v>
      </c>
      <c r="G35" s="116">
        <v>2327721.6799999997</v>
      </c>
      <c r="H35" s="116">
        <v>2333257.1399999997</v>
      </c>
      <c r="I35" s="116">
        <v>2330212.92</v>
      </c>
      <c r="J35" s="116">
        <v>2481992.88</v>
      </c>
      <c r="K35" s="116">
        <v>2300190.2599999998</v>
      </c>
      <c r="L35" s="116">
        <v>2316582.0300000003</v>
      </c>
      <c r="M35" s="116"/>
    </row>
    <row r="36" spans="1:17" ht="18" customHeight="1" x14ac:dyDescent="0.25">
      <c r="A36" s="113" t="s">
        <v>86</v>
      </c>
      <c r="B36" s="114">
        <f t="shared" ref="B36:M36" si="9">SUM(B37:B38)</f>
        <v>-29174176.420000017</v>
      </c>
      <c r="C36" s="114">
        <f t="shared" si="9"/>
        <v>-26776609.510000013</v>
      </c>
      <c r="D36" s="114">
        <f t="shared" si="9"/>
        <v>-25916296.720000017</v>
      </c>
      <c r="E36" s="114">
        <f t="shared" si="9"/>
        <v>-27455603.840000018</v>
      </c>
      <c r="F36" s="114">
        <f t="shared" si="9"/>
        <v>-28084890.500000019</v>
      </c>
      <c r="G36" s="114">
        <f t="shared" si="9"/>
        <v>-23930835.610000018</v>
      </c>
      <c r="H36" s="114">
        <f t="shared" si="9"/>
        <v>-21590855.630000003</v>
      </c>
      <c r="I36" s="114">
        <f t="shared" si="9"/>
        <v>-22328291.460000012</v>
      </c>
      <c r="J36" s="114">
        <f t="shared" si="9"/>
        <v>-26477938.090000004</v>
      </c>
      <c r="K36" s="114">
        <f t="shared" si="9"/>
        <v>-35947429.590000018</v>
      </c>
      <c r="L36" s="114">
        <f t="shared" si="9"/>
        <v>-33003349.500000019</v>
      </c>
      <c r="M36" s="114">
        <f t="shared" si="9"/>
        <v>2939268.0399999968</v>
      </c>
      <c r="O36" s="118"/>
      <c r="P36" s="107"/>
      <c r="Q36" s="107"/>
    </row>
    <row r="37" spans="1:17" ht="18" customHeight="1" x14ac:dyDescent="0.25">
      <c r="A37" s="115" t="s">
        <v>87</v>
      </c>
      <c r="B37" s="116">
        <v>-35942617.540000014</v>
      </c>
      <c r="C37" s="116">
        <v>-35942617.540000014</v>
      </c>
      <c r="D37" s="116">
        <v>-35942617.540000014</v>
      </c>
      <c r="E37" s="116">
        <v>-35942617.540000014</v>
      </c>
      <c r="F37" s="116">
        <v>-35942617.540000014</v>
      </c>
      <c r="G37" s="116">
        <v>-35942617.540000014</v>
      </c>
      <c r="H37" s="116">
        <v>-35942617.540000014</v>
      </c>
      <c r="I37" s="116">
        <v>-35942617.540000014</v>
      </c>
      <c r="J37" s="116">
        <v>-35942617.540000014</v>
      </c>
      <c r="K37" s="116">
        <v>-35942617.540000014</v>
      </c>
      <c r="L37" s="116">
        <v>-35942617.540000014</v>
      </c>
      <c r="M37" s="116"/>
      <c r="N37" s="106"/>
      <c r="P37" s="118"/>
    </row>
    <row r="38" spans="1:17" ht="18" customHeight="1" x14ac:dyDescent="0.25">
      <c r="A38" s="115" t="s">
        <v>88</v>
      </c>
      <c r="B38" s="116">
        <f>+DRE!B43</f>
        <v>6768441.1199999955</v>
      </c>
      <c r="C38" s="116">
        <f>+SUM(DRE!$B43:C43)</f>
        <v>9166008.0299999993</v>
      </c>
      <c r="D38" s="116">
        <f>+SUM(DRE!$B43:D43)</f>
        <v>10026320.819999997</v>
      </c>
      <c r="E38" s="116">
        <f>+SUM(DRE!$B43:E43)</f>
        <v>8487013.6999999955</v>
      </c>
      <c r="F38" s="116">
        <f>+SUM(DRE!$B43:F43)</f>
        <v>7857727.0399999944</v>
      </c>
      <c r="G38" s="116">
        <f>+SUM(DRE!$B43:G43)</f>
        <v>12011781.929999996</v>
      </c>
      <c r="H38" s="116">
        <f>+SUM(DRE!$B43:H43)</f>
        <v>14351761.910000009</v>
      </c>
      <c r="I38" s="116">
        <f>+SUM(DRE!$B43:I43)</f>
        <v>13614326.080000002</v>
      </c>
      <c r="J38" s="116">
        <f>+SUM(DRE!$B43:J43)</f>
        <v>9464679.4500000123</v>
      </c>
      <c r="K38" s="116">
        <f>+SUM(DRE!$B43:K43)</f>
        <v>-4812.050000006333</v>
      </c>
      <c r="L38" s="116">
        <f>+SUM(DRE!$B43:L43)</f>
        <v>2939268.0399999968</v>
      </c>
      <c r="M38" s="116">
        <f>+SUM(DRE!$B43:M43)</f>
        <v>2939268.0399999968</v>
      </c>
      <c r="N38" s="116"/>
      <c r="O38" s="118"/>
      <c r="P38" s="107"/>
      <c r="Q38" s="118"/>
    </row>
    <row r="40" spans="1:17" ht="15" customHeight="1" x14ac:dyDescent="0.25">
      <c r="C40" s="119"/>
      <c r="D40" s="119"/>
      <c r="E40" s="119"/>
      <c r="F40" s="119"/>
      <c r="G40" s="119"/>
      <c r="H40" s="119"/>
      <c r="I40" s="119"/>
      <c r="J40" s="119"/>
      <c r="K40" s="119"/>
      <c r="L40" s="118"/>
      <c r="M40" s="118"/>
    </row>
    <row r="41" spans="1:17" ht="15" customHeight="1" x14ac:dyDescent="0.25">
      <c r="K41" s="118"/>
    </row>
    <row r="42" spans="1:17" ht="15" customHeight="1" x14ac:dyDescent="0.25">
      <c r="K42" s="118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56" orientation="landscape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DC80-4DB6-4DCB-A3BB-3874C2F6DDEB}">
  <dimension ref="A1:R48"/>
  <sheetViews>
    <sheetView showGridLines="0" zoomScale="80" zoomScaleNormal="80" workbookViewId="0">
      <pane ySplit="10" topLeftCell="A16" activePane="bottomLeft" state="frozen"/>
      <selection sqref="A1:M38"/>
      <selection pane="bottomLeft" activeCell="E32" sqref="E32"/>
    </sheetView>
  </sheetViews>
  <sheetFormatPr defaultColWidth="6.85546875" defaultRowHeight="15" customHeight="1" x14ac:dyDescent="0.25"/>
  <cols>
    <col min="1" max="1" width="48.5703125" style="100" customWidth="1"/>
    <col min="2" max="2" width="16.28515625" style="119" customWidth="1"/>
    <col min="3" max="11" width="16.28515625" style="100" customWidth="1"/>
    <col min="12" max="12" width="18.140625" style="100" customWidth="1"/>
    <col min="13" max="13" width="16.28515625" style="100" hidden="1" customWidth="1"/>
    <col min="14" max="14" width="20" style="100" customWidth="1"/>
    <col min="15" max="15" width="16.140625" style="119" bestFit="1" customWidth="1"/>
    <col min="16" max="16" width="12.140625" style="100" bestFit="1" customWidth="1"/>
    <col min="17" max="17" width="16.140625" style="100" bestFit="1" customWidth="1"/>
    <col min="18" max="18" width="15.42578125" style="100" bestFit="1" customWidth="1"/>
    <col min="19" max="16384" width="6.85546875" style="100"/>
  </cols>
  <sheetData>
    <row r="1" spans="1:18" ht="69.95" customHeight="1" x14ac:dyDescent="0.25">
      <c r="B1" s="101"/>
      <c r="O1" s="100"/>
    </row>
    <row r="2" spans="1:18" s="102" customFormat="1" ht="18" customHeight="1" x14ac:dyDescent="0.25">
      <c r="A2" s="141" t="s">
        <v>49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8" s="102" customFormat="1" ht="15" customHeight="1" x14ac:dyDescent="0.25">
      <c r="A3" s="142" t="s">
        <v>50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03"/>
    </row>
    <row r="4" spans="1:18" s="102" customFormat="1" ht="15" customHeight="1" x14ac:dyDescent="0.25">
      <c r="A4" s="143" t="s">
        <v>51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03"/>
    </row>
    <row r="5" spans="1:18" s="102" customFormat="1" ht="15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O5" s="103"/>
    </row>
    <row r="6" spans="1:18" s="102" customFormat="1" ht="15" customHeight="1" x14ac:dyDescent="0.25">
      <c r="A6" s="142" t="s">
        <v>116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03"/>
    </row>
    <row r="7" spans="1:18" s="102" customFormat="1" ht="18" customHeight="1" x14ac:dyDescent="0.25">
      <c r="N7" s="104"/>
    </row>
    <row r="8" spans="1:18" s="103" customFormat="1" ht="18" customHeight="1" x14ac:dyDescent="0.25">
      <c r="A8" s="143" t="s">
        <v>118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8" ht="18" customHeight="1" x14ac:dyDescent="0.25">
      <c r="B9" s="105"/>
      <c r="C9" s="105"/>
      <c r="D9" s="105"/>
      <c r="E9" s="105"/>
      <c r="F9" s="105"/>
      <c r="G9" s="106"/>
      <c r="H9" s="105"/>
      <c r="I9" s="105"/>
      <c r="J9" s="105"/>
      <c r="K9" s="105"/>
      <c r="L9" s="105"/>
      <c r="N9" s="107"/>
      <c r="O9" s="100"/>
    </row>
    <row r="10" spans="1:18" ht="18" customHeight="1" x14ac:dyDescent="0.25">
      <c r="A10" s="108"/>
      <c r="B10" s="120">
        <v>45323</v>
      </c>
      <c r="C10" s="120">
        <v>45352</v>
      </c>
      <c r="D10" s="120">
        <v>45383</v>
      </c>
      <c r="E10" s="120">
        <v>45413</v>
      </c>
      <c r="F10" s="120">
        <v>45444</v>
      </c>
      <c r="G10" s="120">
        <v>45474</v>
      </c>
      <c r="H10" s="120">
        <v>45505</v>
      </c>
      <c r="I10" s="120">
        <v>45536</v>
      </c>
      <c r="J10" s="120">
        <v>45566</v>
      </c>
      <c r="K10" s="120">
        <v>45597</v>
      </c>
      <c r="L10" s="120">
        <v>45627</v>
      </c>
      <c r="M10" s="120">
        <v>45658</v>
      </c>
      <c r="N10" s="110" t="s">
        <v>28</v>
      </c>
      <c r="O10" s="100"/>
    </row>
    <row r="11" spans="1:18" ht="18" customHeight="1" x14ac:dyDescent="0.25"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O11" s="100"/>
    </row>
    <row r="12" spans="1:18" ht="18" customHeight="1" x14ac:dyDescent="0.25">
      <c r="A12" s="111" t="s">
        <v>89</v>
      </c>
      <c r="B12" s="112">
        <f t="shared" ref="B12:N12" si="0">SUM(B13:B17)</f>
        <v>66669299.390000001</v>
      </c>
      <c r="C12" s="112">
        <f t="shared" si="0"/>
        <v>66058667.989999995</v>
      </c>
      <c r="D12" s="112">
        <f t="shared" si="0"/>
        <v>65524087.659999989</v>
      </c>
      <c r="E12" s="112">
        <f t="shared" si="0"/>
        <v>64786517.629999995</v>
      </c>
      <c r="F12" s="112">
        <f t="shared" si="0"/>
        <v>64623440.460000001</v>
      </c>
      <c r="G12" s="112">
        <f t="shared" si="0"/>
        <v>65506222.159999996</v>
      </c>
      <c r="H12" s="112">
        <f t="shared" si="0"/>
        <v>66781072.270000003</v>
      </c>
      <c r="I12" s="112">
        <f t="shared" si="0"/>
        <v>64507079.169999994</v>
      </c>
      <c r="J12" s="112">
        <f t="shared" si="0"/>
        <v>65074441.980000004</v>
      </c>
      <c r="K12" s="112">
        <f t="shared" si="0"/>
        <v>63106773.119999997</v>
      </c>
      <c r="L12" s="112">
        <f t="shared" si="0"/>
        <v>64969441.170000002</v>
      </c>
      <c r="M12" s="112">
        <f t="shared" si="0"/>
        <v>0</v>
      </c>
      <c r="N12" s="112">
        <f t="shared" si="0"/>
        <v>717607043.00000012</v>
      </c>
      <c r="O12" s="118"/>
      <c r="P12" s="107"/>
      <c r="R12" s="118"/>
    </row>
    <row r="13" spans="1:18" ht="18" customHeight="1" x14ac:dyDescent="0.25">
      <c r="A13" s="115" t="s">
        <v>90</v>
      </c>
      <c r="B13" s="116">
        <f>59913101.44+2540399.33</f>
        <v>62453500.769999996</v>
      </c>
      <c r="C13" s="116">
        <f>59828020.18+2540399.33</f>
        <v>62368419.509999998</v>
      </c>
      <c r="D13" s="116">
        <f>59864129.23+2540399.33</f>
        <v>62404528.559999995</v>
      </c>
      <c r="E13" s="116">
        <f>59868109.75+2540399.33</f>
        <v>62408509.079999998</v>
      </c>
      <c r="F13" s="116">
        <f>59930275.53+2540399.33</f>
        <v>62470674.859999999</v>
      </c>
      <c r="G13" s="116">
        <f>59979575.49+2540399.33</f>
        <v>62519974.82</v>
      </c>
      <c r="H13" s="116">
        <f>60054348.9+2540399.33</f>
        <v>62594748.229999997</v>
      </c>
      <c r="I13" s="116">
        <f>59991978.15+2540399.33</f>
        <v>62532377.479999997</v>
      </c>
      <c r="J13" s="116">
        <f>59700287.49+2540399.33</f>
        <v>62240686.82</v>
      </c>
      <c r="K13" s="116">
        <f>59816922.9+2540399.33</f>
        <v>62357322.229999997</v>
      </c>
      <c r="L13" s="116">
        <f>59930234.19+2540399.33</f>
        <v>62470633.519999996</v>
      </c>
      <c r="M13" s="116"/>
      <c r="N13" s="132">
        <f>SUM(B13:M13)</f>
        <v>686821375.88000011</v>
      </c>
      <c r="O13" s="100"/>
    </row>
    <row r="14" spans="1:18" ht="18" customHeight="1" x14ac:dyDescent="0.25">
      <c r="A14" s="115" t="s">
        <v>91</v>
      </c>
      <c r="B14" s="116">
        <v>1949508.8800000001</v>
      </c>
      <c r="C14" s="116">
        <v>1834083.82</v>
      </c>
      <c r="D14" s="116">
        <v>2087271.06</v>
      </c>
      <c r="E14" s="116">
        <v>1999096.28</v>
      </c>
      <c r="F14" s="116">
        <v>1735419.47</v>
      </c>
      <c r="G14" s="116">
        <v>1869874.25</v>
      </c>
      <c r="H14" s="116">
        <v>1825052.6800000004</v>
      </c>
      <c r="I14" s="116">
        <v>1819181.31</v>
      </c>
      <c r="J14" s="116">
        <v>1748430.6800000004</v>
      </c>
      <c r="K14" s="116">
        <v>1784927.42</v>
      </c>
      <c r="L14" s="116">
        <v>1690104.07</v>
      </c>
      <c r="M14" s="116"/>
      <c r="N14" s="132">
        <f>SUM(B14:M14)</f>
        <v>20342949.920000002</v>
      </c>
      <c r="O14" s="100"/>
    </row>
    <row r="15" spans="1:18" ht="18" customHeight="1" x14ac:dyDescent="0.25">
      <c r="A15" s="115" t="s">
        <v>92</v>
      </c>
      <c r="B15" s="116">
        <v>637549.34</v>
      </c>
      <c r="C15" s="116">
        <v>597522.91</v>
      </c>
      <c r="D15" s="116">
        <v>974739.44000000006</v>
      </c>
      <c r="E15" s="116">
        <v>303855.01</v>
      </c>
      <c r="F15" s="116">
        <v>309028.15000000002</v>
      </c>
      <c r="G15" s="116">
        <v>1006486.25</v>
      </c>
      <c r="H15" s="116">
        <v>2262741.21</v>
      </c>
      <c r="I15" s="116">
        <v>92720.26</v>
      </c>
      <c r="J15" s="116">
        <v>966286.21</v>
      </c>
      <c r="K15" s="116">
        <v>-766338.94</v>
      </c>
      <c r="L15" s="116">
        <v>611958.99</v>
      </c>
      <c r="M15" s="116"/>
      <c r="N15" s="132">
        <f>SUM(B15:M15)</f>
        <v>6996548.8300000001</v>
      </c>
      <c r="O15" s="100"/>
    </row>
    <row r="16" spans="1:18" ht="18" customHeight="1" x14ac:dyDescent="0.25">
      <c r="A16" s="115" t="s">
        <v>93</v>
      </c>
      <c r="B16" s="116">
        <v>471684.54</v>
      </c>
      <c r="C16" s="116">
        <v>838506.58</v>
      </c>
      <c r="D16" s="116">
        <v>28623.8</v>
      </c>
      <c r="E16" s="116">
        <v>46292.54</v>
      </c>
      <c r="F16" s="116">
        <v>59066.77</v>
      </c>
      <c r="G16" s="116">
        <v>81717.86</v>
      </c>
      <c r="H16" s="116">
        <v>50223.09</v>
      </c>
      <c r="I16" s="116">
        <v>51152.46</v>
      </c>
      <c r="J16" s="116">
        <v>51152.46</v>
      </c>
      <c r="K16" s="116">
        <v>-300094.34999999998</v>
      </c>
      <c r="L16" s="116">
        <v>39863.53</v>
      </c>
      <c r="M16" s="116"/>
      <c r="N16" s="132">
        <f>SUM(B16:M16)</f>
        <v>1418189.28</v>
      </c>
      <c r="O16" s="100"/>
    </row>
    <row r="17" spans="1:18" ht="18" customHeight="1" x14ac:dyDescent="0.25">
      <c r="A17" s="115" t="s">
        <v>94</v>
      </c>
      <c r="B17" s="116">
        <v>1157055.8600000001</v>
      </c>
      <c r="C17" s="116">
        <v>420135.17000000004</v>
      </c>
      <c r="D17" s="116">
        <v>28924.799999999999</v>
      </c>
      <c r="E17" s="116">
        <v>28764.720000000001</v>
      </c>
      <c r="F17" s="116">
        <v>49251.21</v>
      </c>
      <c r="G17" s="116">
        <v>28168.98</v>
      </c>
      <c r="H17" s="116">
        <v>48307.06</v>
      </c>
      <c r="I17" s="116">
        <v>11647.66</v>
      </c>
      <c r="J17" s="116">
        <v>67885.81</v>
      </c>
      <c r="K17" s="116">
        <v>30956.760000000002</v>
      </c>
      <c r="L17" s="116">
        <v>156881.06000000003</v>
      </c>
      <c r="M17" s="116"/>
      <c r="N17" s="132">
        <f>SUM(B17:M17)</f>
        <v>2027979.0900000003</v>
      </c>
      <c r="O17" s="100"/>
    </row>
    <row r="18" spans="1:18" s="131" customFormat="1" ht="9.9499999999999993" customHeight="1" x14ac:dyDescent="0.25">
      <c r="A18" s="115"/>
      <c r="B18" s="121"/>
      <c r="C18" s="121"/>
      <c r="D18" s="116"/>
      <c r="E18" s="121"/>
      <c r="F18" s="121"/>
      <c r="G18" s="121"/>
      <c r="H18" s="121"/>
      <c r="I18" s="121"/>
      <c r="J18" s="121"/>
      <c r="K18" s="121"/>
      <c r="L18" s="121"/>
      <c r="M18" s="121"/>
      <c r="N18" s="132"/>
      <c r="O18" s="133"/>
      <c r="Q18" s="133"/>
      <c r="R18" s="134"/>
    </row>
    <row r="19" spans="1:18" ht="18" customHeight="1" x14ac:dyDescent="0.25">
      <c r="A19" s="111" t="s">
        <v>95</v>
      </c>
      <c r="B19" s="112">
        <f t="shared" ref="B19:N19" si="1">SUM(B27:B35)+B26</f>
        <v>-60068288.870000005</v>
      </c>
      <c r="C19" s="112">
        <f t="shared" si="1"/>
        <v>-63858593.149999991</v>
      </c>
      <c r="D19" s="112">
        <f t="shared" si="1"/>
        <v>-65008040.899999991</v>
      </c>
      <c r="E19" s="112">
        <f t="shared" si="1"/>
        <v>-66620912.549999997</v>
      </c>
      <c r="F19" s="112">
        <f t="shared" si="1"/>
        <v>-65610931.670000002</v>
      </c>
      <c r="G19" s="112">
        <f t="shared" si="1"/>
        <v>-61711121.989999995</v>
      </c>
      <c r="H19" s="112">
        <f t="shared" si="1"/>
        <v>-64862046.36999999</v>
      </c>
      <c r="I19" s="112">
        <f t="shared" si="1"/>
        <v>-65617229.560000002</v>
      </c>
      <c r="J19" s="112">
        <f t="shared" si="1"/>
        <v>-69642428.849999994</v>
      </c>
      <c r="K19" s="112">
        <f>SUM(K27:K35)+K26</f>
        <v>-72896850.640000015</v>
      </c>
      <c r="L19" s="112">
        <f t="shared" si="1"/>
        <v>-62208533.899999999</v>
      </c>
      <c r="M19" s="112">
        <f t="shared" si="1"/>
        <v>0</v>
      </c>
      <c r="N19" s="112">
        <f t="shared" si="1"/>
        <v>-718104978.45000005</v>
      </c>
      <c r="O19" s="118"/>
      <c r="P19" s="107"/>
      <c r="R19" s="118"/>
    </row>
    <row r="20" spans="1:18" ht="18" customHeight="1" x14ac:dyDescent="0.25">
      <c r="A20" s="122" t="s">
        <v>96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00"/>
    </row>
    <row r="21" spans="1:18" ht="18" customHeight="1" x14ac:dyDescent="0.25">
      <c r="A21" s="123" t="s">
        <v>97</v>
      </c>
      <c r="B21" s="116">
        <v>-25706115.029999994</v>
      </c>
      <c r="C21" s="116">
        <v>-26347049.469999991</v>
      </c>
      <c r="D21" s="116">
        <v>-26436834.229999997</v>
      </c>
      <c r="E21" s="116">
        <v>-25782257.890000001</v>
      </c>
      <c r="F21" s="116">
        <v>-26905158.699999996</v>
      </c>
      <c r="G21" s="116">
        <v>-26305497.890000001</v>
      </c>
      <c r="H21" s="116">
        <v>-26203835.109999999</v>
      </c>
      <c r="I21" s="116">
        <v>-27355245.120000001</v>
      </c>
      <c r="J21" s="116">
        <v>-27265386.02</v>
      </c>
      <c r="K21" s="116">
        <v>-26631826.420000009</v>
      </c>
      <c r="L21" s="116">
        <v>-27055773.119999997</v>
      </c>
      <c r="M21" s="116"/>
      <c r="N21" s="132">
        <f t="shared" ref="N21" si="2">SUM(B21:M21)</f>
        <v>-291994979</v>
      </c>
      <c r="O21" s="100"/>
    </row>
    <row r="22" spans="1:18" ht="18" customHeight="1" x14ac:dyDescent="0.25">
      <c r="A22" s="123" t="s">
        <v>98</v>
      </c>
      <c r="B22" s="116">
        <v>-3382013.2800000003</v>
      </c>
      <c r="C22" s="116">
        <v>-3385442.0200000005</v>
      </c>
      <c r="D22" s="116">
        <v>-3320365.5800000005</v>
      </c>
      <c r="E22" s="116">
        <v>-3371461.15</v>
      </c>
      <c r="F22" s="116">
        <v>-3460098.5500000003</v>
      </c>
      <c r="G22" s="116">
        <v>-3577498.28</v>
      </c>
      <c r="H22" s="116">
        <v>-3410748.25</v>
      </c>
      <c r="I22" s="116">
        <v>-3554191.5300000003</v>
      </c>
      <c r="J22" s="116">
        <v>-3316767.23</v>
      </c>
      <c r="K22" s="116">
        <v>-3678807.91</v>
      </c>
      <c r="L22" s="116">
        <v>-3392861.8399999994</v>
      </c>
      <c r="M22" s="116"/>
      <c r="N22" s="132">
        <f t="shared" ref="N22" si="3">SUM(B22:M22)</f>
        <v>-37850255.619999997</v>
      </c>
      <c r="O22" s="100"/>
    </row>
    <row r="23" spans="1:18" ht="18" customHeight="1" x14ac:dyDescent="0.25">
      <c r="A23" s="123" t="s">
        <v>99</v>
      </c>
      <c r="B23" s="116">
        <v>-3222405.24</v>
      </c>
      <c r="C23" s="116">
        <v>-3211365.62</v>
      </c>
      <c r="D23" s="116">
        <v>-3079503.1300000004</v>
      </c>
      <c r="E23" s="116">
        <v>-3245448.76</v>
      </c>
      <c r="F23" s="116">
        <v>-3645850.77</v>
      </c>
      <c r="G23" s="116">
        <v>-3144887.29</v>
      </c>
      <c r="H23" s="116">
        <v>-3287824.93</v>
      </c>
      <c r="I23" s="116">
        <v>-3642286.0300000003</v>
      </c>
      <c r="J23" s="116">
        <v>-3309938.91</v>
      </c>
      <c r="K23" s="116">
        <v>-3256061.16</v>
      </c>
      <c r="L23" s="116">
        <v>-3326443.0300000003</v>
      </c>
      <c r="M23" s="116"/>
      <c r="N23" s="132">
        <f>SUM(B23:M23)</f>
        <v>-36372014.869999997</v>
      </c>
      <c r="O23" s="118"/>
    </row>
    <row r="24" spans="1:18" ht="18" customHeight="1" x14ac:dyDescent="0.25">
      <c r="A24" s="123" t="s">
        <v>100</v>
      </c>
      <c r="B24" s="116">
        <v>-2459728.84</v>
      </c>
      <c r="C24" s="116">
        <v>-2573399.52</v>
      </c>
      <c r="D24" s="116">
        <v>-2571497.62</v>
      </c>
      <c r="E24" s="116">
        <v>-2595531.79</v>
      </c>
      <c r="F24" s="116">
        <v>-2820898.66</v>
      </c>
      <c r="G24" s="116">
        <v>-2850995.5500000003</v>
      </c>
      <c r="H24" s="116">
        <v>-2681482.67</v>
      </c>
      <c r="I24" s="116">
        <v>-2978044.75</v>
      </c>
      <c r="J24" s="116">
        <v>-2766987.19</v>
      </c>
      <c r="K24" s="116">
        <v>-2601441.21</v>
      </c>
      <c r="L24" s="116">
        <v>844639.39</v>
      </c>
      <c r="M24" s="116"/>
      <c r="N24" s="132">
        <f>SUM(B24:M24)</f>
        <v>-26055368.41</v>
      </c>
      <c r="O24" s="118"/>
    </row>
    <row r="25" spans="1:18" ht="18" customHeight="1" x14ac:dyDescent="0.25">
      <c r="A25" s="123" t="s">
        <v>101</v>
      </c>
      <c r="B25" s="116">
        <v>-2276834.27</v>
      </c>
      <c r="C25" s="116">
        <v>-2274705.8800000004</v>
      </c>
      <c r="D25" s="116">
        <v>-2313558.37</v>
      </c>
      <c r="E25" s="116">
        <v>-2271815.8600000003</v>
      </c>
      <c r="F25" s="116">
        <v>-2351886.1</v>
      </c>
      <c r="G25" s="116">
        <v>-2422673.1500000004</v>
      </c>
      <c r="H25" s="116">
        <v>-2337636.9800000004</v>
      </c>
      <c r="I25" s="116">
        <v>-2361387.2099999995</v>
      </c>
      <c r="J25" s="116">
        <v>-2400348.8600000003</v>
      </c>
      <c r="K25" s="116">
        <v>-3334906.24</v>
      </c>
      <c r="L25" s="116">
        <v>-3459827.92</v>
      </c>
      <c r="M25" s="116"/>
      <c r="N25" s="132">
        <f>SUM(B25:M25)</f>
        <v>-27805580.840000004</v>
      </c>
      <c r="O25" s="118"/>
    </row>
    <row r="26" spans="1:18" ht="18" customHeight="1" x14ac:dyDescent="0.25">
      <c r="A26" s="135" t="s">
        <v>102</v>
      </c>
      <c r="B26" s="124">
        <f t="shared" ref="B26:N26" si="4">SUM(B21:B25)</f>
        <v>-37047096.660000004</v>
      </c>
      <c r="C26" s="124">
        <f t="shared" si="4"/>
        <v>-37791962.509999998</v>
      </c>
      <c r="D26" s="124">
        <f t="shared" si="4"/>
        <v>-37721758.929999992</v>
      </c>
      <c r="E26" s="124">
        <f t="shared" si="4"/>
        <v>-37266515.449999996</v>
      </c>
      <c r="F26" s="124">
        <f t="shared" si="4"/>
        <v>-39183892.779999994</v>
      </c>
      <c r="G26" s="124">
        <f t="shared" si="4"/>
        <v>-38301552.159999996</v>
      </c>
      <c r="H26" s="124">
        <f t="shared" si="4"/>
        <v>-37921527.939999998</v>
      </c>
      <c r="I26" s="124">
        <f t="shared" si="4"/>
        <v>-39891154.640000001</v>
      </c>
      <c r="J26" s="124">
        <f t="shared" si="4"/>
        <v>-39059428.209999993</v>
      </c>
      <c r="K26" s="124">
        <f t="shared" si="4"/>
        <v>-39503042.940000013</v>
      </c>
      <c r="L26" s="124">
        <f t="shared" si="4"/>
        <v>-36390266.519999996</v>
      </c>
      <c r="M26" s="124">
        <f t="shared" si="4"/>
        <v>0</v>
      </c>
      <c r="N26" s="124">
        <f t="shared" si="4"/>
        <v>-420078198.74000001</v>
      </c>
      <c r="O26" s="118"/>
    </row>
    <row r="27" spans="1:18" ht="18" customHeight="1" x14ac:dyDescent="0.25">
      <c r="A27" s="115" t="s">
        <v>103</v>
      </c>
      <c r="B27" s="116">
        <v>-15051567.200000001</v>
      </c>
      <c r="C27" s="116">
        <v>-13366378.699999999</v>
      </c>
      <c r="D27" s="116">
        <v>-17929127.470000003</v>
      </c>
      <c r="E27" s="116">
        <v>-16482105.899999997</v>
      </c>
      <c r="F27" s="116">
        <v>-13980931.400000002</v>
      </c>
      <c r="G27" s="116">
        <v>-12462915.880000001</v>
      </c>
      <c r="H27" s="116">
        <v>-17123097.129999995</v>
      </c>
      <c r="I27" s="116">
        <v>-15189380.930000002</v>
      </c>
      <c r="J27" s="116">
        <v>-17123117.540000003</v>
      </c>
      <c r="K27" s="116">
        <v>-14660030.970000003</v>
      </c>
      <c r="L27" s="116">
        <f>-16247924.65+26400</f>
        <v>-16221524.65</v>
      </c>
      <c r="M27" s="116"/>
      <c r="N27" s="132">
        <f t="shared" ref="N27:N35" si="5">SUM(B27:M27)</f>
        <v>-169590177.77000001</v>
      </c>
      <c r="O27" s="118"/>
    </row>
    <row r="28" spans="1:18" ht="18" customHeight="1" x14ac:dyDescent="0.25">
      <c r="A28" s="115" t="s">
        <v>104</v>
      </c>
      <c r="B28" s="116">
        <v>-5329715.7700000005</v>
      </c>
      <c r="C28" s="116">
        <v>-9174581.3999999985</v>
      </c>
      <c r="D28" s="116">
        <v>-6024567.2599999998</v>
      </c>
      <c r="E28" s="116">
        <v>-9228820.3200000003</v>
      </c>
      <c r="F28" s="116">
        <v>-8761335.7600000016</v>
      </c>
      <c r="G28" s="116">
        <v>-7549501.8100000005</v>
      </c>
      <c r="H28" s="116">
        <v>-6869236.1099999994</v>
      </c>
      <c r="I28" s="116">
        <v>-6895946.0700000003</v>
      </c>
      <c r="J28" s="116">
        <v>-7737291.7300000004</v>
      </c>
      <c r="K28" s="116">
        <v>-7799005.1900000004</v>
      </c>
      <c r="L28" s="116">
        <v>-7865582.3799999999</v>
      </c>
      <c r="M28" s="116"/>
      <c r="N28" s="132">
        <f t="shared" si="5"/>
        <v>-83235583.799999997</v>
      </c>
      <c r="O28" s="118"/>
    </row>
    <row r="29" spans="1:18" ht="18" customHeight="1" x14ac:dyDescent="0.25">
      <c r="A29" s="115" t="s">
        <v>105</v>
      </c>
      <c r="B29" s="116">
        <v>-609219.95000000019</v>
      </c>
      <c r="C29" s="116">
        <v>-830171.58999999985</v>
      </c>
      <c r="D29" s="116">
        <v>-843041.2200000002</v>
      </c>
      <c r="E29" s="116">
        <v>-817219.08999999985</v>
      </c>
      <c r="F29" s="116">
        <v>-779333.07</v>
      </c>
      <c r="G29" s="116">
        <v>-733442.78</v>
      </c>
      <c r="H29" s="116">
        <v>-1193589.3299999998</v>
      </c>
      <c r="I29" s="116">
        <v>-867258.23</v>
      </c>
      <c r="J29" s="116">
        <v>-3643165.7699999996</v>
      </c>
      <c r="K29" s="116">
        <v>-1715548.31</v>
      </c>
      <c r="L29" s="116">
        <v>-193154.22000000067</v>
      </c>
      <c r="M29" s="116"/>
      <c r="N29" s="132">
        <f t="shared" si="5"/>
        <v>-12225143.560000001</v>
      </c>
    </row>
    <row r="30" spans="1:18" ht="18" customHeight="1" x14ac:dyDescent="0.25">
      <c r="A30" s="115" t="s">
        <v>106</v>
      </c>
      <c r="B30" s="116">
        <v>-287161.11</v>
      </c>
      <c r="C30" s="116">
        <v>-1331742.3700000001</v>
      </c>
      <c r="D30" s="116">
        <v>-1110982.71</v>
      </c>
      <c r="E30" s="116">
        <v>-1316231.0799999998</v>
      </c>
      <c r="F30" s="116">
        <v>-1363206.01</v>
      </c>
      <c r="G30" s="116">
        <v>-1077114.81</v>
      </c>
      <c r="H30" s="116">
        <v>-583641.16999999993</v>
      </c>
      <c r="I30" s="116">
        <v>-1317820.8399999999</v>
      </c>
      <c r="J30" s="116">
        <v>-276032.42000000004</v>
      </c>
      <c r="K30" s="116">
        <v>-1408888.95</v>
      </c>
      <c r="L30" s="116">
        <v>-460882.15</v>
      </c>
      <c r="M30" s="116"/>
      <c r="N30" s="132">
        <f t="shared" si="5"/>
        <v>-10533703.619999999</v>
      </c>
      <c r="O30" s="100"/>
    </row>
    <row r="31" spans="1:18" ht="18" customHeight="1" x14ac:dyDescent="0.25">
      <c r="A31" s="115" t="s">
        <v>109</v>
      </c>
      <c r="B31" s="116">
        <v>-337357.06</v>
      </c>
      <c r="C31" s="116">
        <v>-361166.64999999997</v>
      </c>
      <c r="D31" s="116">
        <v>-465631.01999999996</v>
      </c>
      <c r="E31" s="116">
        <v>-413739.22999999992</v>
      </c>
      <c r="F31" s="116">
        <v>-400768.32999999996</v>
      </c>
      <c r="G31" s="116">
        <v>-360139.39</v>
      </c>
      <c r="H31" s="116">
        <v>-303351.45999999996</v>
      </c>
      <c r="I31" s="116">
        <v>-311385.14</v>
      </c>
      <c r="J31" s="116">
        <v>-445926.37</v>
      </c>
      <c r="K31" s="116">
        <v>-352845.46</v>
      </c>
      <c r="L31" s="116">
        <v>-341105.19000000006</v>
      </c>
      <c r="M31" s="116"/>
      <c r="N31" s="132">
        <f t="shared" si="5"/>
        <v>-4093415.3000000003</v>
      </c>
      <c r="O31" s="136"/>
    </row>
    <row r="32" spans="1:18" ht="18" customHeight="1" x14ac:dyDescent="0.25">
      <c r="A32" s="115" t="s">
        <v>110</v>
      </c>
      <c r="B32" s="116">
        <v>-749450.02</v>
      </c>
      <c r="C32" s="116">
        <v>-172142.36</v>
      </c>
      <c r="D32" s="116">
        <v>-92572.360000000015</v>
      </c>
      <c r="E32" s="116">
        <v>-235779.36</v>
      </c>
      <c r="F32" s="116">
        <v>-528717.69999999995</v>
      </c>
      <c r="G32" s="116">
        <v>-247574.39</v>
      </c>
      <c r="H32" s="116">
        <v>-772.80000000000007</v>
      </c>
      <c r="I32" s="116">
        <v>-203624.85</v>
      </c>
      <c r="J32" s="116">
        <v>-196879.44</v>
      </c>
      <c r="K32" s="116">
        <v>-100831.86000000002</v>
      </c>
      <c r="L32" s="116">
        <v>-108156.95999999999</v>
      </c>
      <c r="M32" s="116"/>
      <c r="N32" s="132">
        <f t="shared" si="5"/>
        <v>-2636502.0999999996</v>
      </c>
      <c r="O32" s="136"/>
    </row>
    <row r="33" spans="1:18" ht="18" customHeight="1" x14ac:dyDescent="0.25">
      <c r="A33" s="115" t="s">
        <v>107</v>
      </c>
      <c r="B33" s="116">
        <v>-87863.85</v>
      </c>
      <c r="C33" s="116">
        <v>-96227.72</v>
      </c>
      <c r="D33" s="116">
        <v>-88796.01999999999</v>
      </c>
      <c r="E33" s="116">
        <v>-88437.119999999995</v>
      </c>
      <c r="F33" s="116">
        <v>-90020.819999999992</v>
      </c>
      <c r="G33" s="116">
        <v>-103330.2</v>
      </c>
      <c r="H33" s="116">
        <v>-103749.73000000001</v>
      </c>
      <c r="I33" s="116">
        <v>-104168.68000000001</v>
      </c>
      <c r="J33" s="116">
        <v>-102973.36</v>
      </c>
      <c r="K33" s="116">
        <v>-108627.68</v>
      </c>
      <c r="L33" s="116">
        <v>-97180.32</v>
      </c>
      <c r="M33" s="116"/>
      <c r="N33" s="132">
        <f t="shared" si="5"/>
        <v>-1071375.5</v>
      </c>
      <c r="O33" s="136"/>
    </row>
    <row r="34" spans="1:18" ht="14.25" customHeight="1" x14ac:dyDescent="0.25">
      <c r="A34" s="115" t="s">
        <v>108</v>
      </c>
      <c r="B34" s="125">
        <v>0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16">
        <v>-6775110.5800000001</v>
      </c>
      <c r="L34" s="125">
        <v>0</v>
      </c>
      <c r="M34" s="116"/>
      <c r="N34" s="132">
        <f t="shared" si="5"/>
        <v>-6775110.5800000001</v>
      </c>
      <c r="O34" s="100"/>
    </row>
    <row r="35" spans="1:18" ht="18" customHeight="1" x14ac:dyDescent="0.25">
      <c r="A35" s="115" t="s">
        <v>111</v>
      </c>
      <c r="B35" s="116">
        <v>-568857.25</v>
      </c>
      <c r="C35" s="116">
        <v>-734219.85</v>
      </c>
      <c r="D35" s="116">
        <v>-731563.91</v>
      </c>
      <c r="E35" s="116">
        <v>-772065</v>
      </c>
      <c r="F35" s="116">
        <v>-522725.80000000005</v>
      </c>
      <c r="G35" s="116">
        <v>-875550.57000000007</v>
      </c>
      <c r="H35" s="116">
        <v>-763080.70000000007</v>
      </c>
      <c r="I35" s="116">
        <v>-836490.17999999993</v>
      </c>
      <c r="J35" s="116">
        <v>-1057614.0100000002</v>
      </c>
      <c r="K35" s="116">
        <v>-472918.70000000007</v>
      </c>
      <c r="L35" s="116">
        <v>-530681.51</v>
      </c>
      <c r="M35" s="116"/>
      <c r="N35" s="132">
        <f t="shared" si="5"/>
        <v>-7865767.4800000014</v>
      </c>
      <c r="O35" s="100"/>
    </row>
    <row r="36" spans="1:18" ht="9.9499999999999993" customHeight="1" x14ac:dyDescent="0.25">
      <c r="A36" s="115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32"/>
      <c r="N36" s="132"/>
      <c r="O36" s="100"/>
    </row>
    <row r="37" spans="1:18" ht="18" customHeight="1" x14ac:dyDescent="0.25">
      <c r="A37" s="111" t="s">
        <v>112</v>
      </c>
      <c r="B37" s="112">
        <f t="shared" ref="B37:N37" si="6">B12+B19</f>
        <v>6601010.5199999958</v>
      </c>
      <c r="C37" s="112">
        <f t="shared" si="6"/>
        <v>2200074.8400000036</v>
      </c>
      <c r="D37" s="112">
        <f t="shared" si="6"/>
        <v>516046.75999999791</v>
      </c>
      <c r="E37" s="112">
        <f t="shared" si="6"/>
        <v>-1834394.9200000018</v>
      </c>
      <c r="F37" s="112">
        <f t="shared" si="6"/>
        <v>-987491.21000000089</v>
      </c>
      <c r="G37" s="112">
        <f t="shared" si="6"/>
        <v>3795100.1700000018</v>
      </c>
      <c r="H37" s="112">
        <f t="shared" si="6"/>
        <v>1919025.9000000134</v>
      </c>
      <c r="I37" s="112">
        <f t="shared" si="6"/>
        <v>-1110150.390000008</v>
      </c>
      <c r="J37" s="112">
        <f t="shared" si="6"/>
        <v>-4567986.8699999899</v>
      </c>
      <c r="K37" s="112">
        <f t="shared" si="6"/>
        <v>-9790077.5200000182</v>
      </c>
      <c r="L37" s="112">
        <f t="shared" si="6"/>
        <v>2760907.2700000033</v>
      </c>
      <c r="M37" s="112">
        <f t="shared" si="6"/>
        <v>0</v>
      </c>
      <c r="N37" s="112">
        <f t="shared" si="6"/>
        <v>-497935.44999992847</v>
      </c>
      <c r="O37" s="100"/>
    </row>
    <row r="38" spans="1:18" ht="18" customHeight="1" x14ac:dyDescent="0.25">
      <c r="A38" s="126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00"/>
    </row>
    <row r="39" spans="1:18" ht="18" customHeight="1" x14ac:dyDescent="0.25">
      <c r="A39" s="127" t="s">
        <v>113</v>
      </c>
      <c r="B39" s="128">
        <f t="shared" ref="B39:M39" si="7">SUM(B40:B41)</f>
        <v>167430.6</v>
      </c>
      <c r="C39" s="128">
        <f t="shared" si="7"/>
        <v>197492.07</v>
      </c>
      <c r="D39" s="128">
        <f t="shared" si="7"/>
        <v>344266.03</v>
      </c>
      <c r="E39" s="128">
        <f t="shared" si="7"/>
        <v>295087.80000000005</v>
      </c>
      <c r="F39" s="128">
        <f t="shared" si="7"/>
        <v>358204.54999999993</v>
      </c>
      <c r="G39" s="128">
        <f t="shared" si="7"/>
        <v>358954.71999999991</v>
      </c>
      <c r="H39" s="128">
        <f t="shared" si="7"/>
        <v>420954.07999999996</v>
      </c>
      <c r="I39" s="128">
        <f t="shared" si="7"/>
        <v>372714.56</v>
      </c>
      <c r="J39" s="128">
        <f t="shared" si="7"/>
        <v>418340.24000000005</v>
      </c>
      <c r="K39" s="128">
        <f t="shared" si="7"/>
        <v>320586.01999999996</v>
      </c>
      <c r="L39" s="128">
        <f t="shared" si="7"/>
        <v>183172.82</v>
      </c>
      <c r="M39" s="128">
        <f t="shared" si="7"/>
        <v>0</v>
      </c>
      <c r="N39" s="128">
        <f>SUM(N40:N41)</f>
        <v>3437203.4899999993</v>
      </c>
      <c r="O39" s="100"/>
    </row>
    <row r="40" spans="1:18" ht="18" customHeight="1" x14ac:dyDescent="0.25">
      <c r="A40" s="115" t="s">
        <v>114</v>
      </c>
      <c r="B40" s="116">
        <v>180309.41</v>
      </c>
      <c r="C40" s="116">
        <v>225134.21000000002</v>
      </c>
      <c r="D40" s="116">
        <v>346692.52</v>
      </c>
      <c r="E40" s="116">
        <v>303808.95000000007</v>
      </c>
      <c r="F40" s="116">
        <v>369942.28999999992</v>
      </c>
      <c r="G40" s="116">
        <v>365678.66999999993</v>
      </c>
      <c r="H40" s="116">
        <v>429793.02999999997</v>
      </c>
      <c r="I40" s="116">
        <v>370877.12</v>
      </c>
      <c r="J40" s="116">
        <v>428854.28</v>
      </c>
      <c r="K40" s="116">
        <v>334668.36</v>
      </c>
      <c r="L40" s="116">
        <f>208569.4-26400</f>
        <v>182169.4</v>
      </c>
      <c r="M40" s="121"/>
      <c r="N40" s="132">
        <f>SUM(B40:M40)</f>
        <v>3537928.2399999993</v>
      </c>
      <c r="O40" s="100"/>
    </row>
    <row r="41" spans="1:18" ht="18" customHeight="1" x14ac:dyDescent="0.25">
      <c r="A41" s="115" t="s">
        <v>115</v>
      </c>
      <c r="B41" s="116">
        <v>-12878.81</v>
      </c>
      <c r="C41" s="116">
        <v>-27642.14</v>
      </c>
      <c r="D41" s="116">
        <v>-2426.4899999999998</v>
      </c>
      <c r="E41" s="116">
        <v>-8721.15</v>
      </c>
      <c r="F41" s="116">
        <v>-11737.74</v>
      </c>
      <c r="G41" s="116">
        <v>-6723.95</v>
      </c>
      <c r="H41" s="116">
        <v>-8838.9500000000007</v>
      </c>
      <c r="I41" s="116">
        <v>1837.4400000000023</v>
      </c>
      <c r="J41" s="116">
        <v>-10514.04</v>
      </c>
      <c r="K41" s="116">
        <v>-14082.34</v>
      </c>
      <c r="L41" s="116">
        <v>1003.4200000000001</v>
      </c>
      <c r="M41" s="121"/>
      <c r="N41" s="132">
        <f>SUM(B41:M41)</f>
        <v>-100724.74999999999</v>
      </c>
      <c r="O41" s="100"/>
    </row>
    <row r="42" spans="1:18" ht="9.9499999999999993" customHeight="1" x14ac:dyDescent="0.25">
      <c r="A42" s="115"/>
      <c r="B42" s="121"/>
      <c r="C42" s="121"/>
      <c r="D42" s="121"/>
      <c r="E42" s="121"/>
      <c r="F42" s="121"/>
      <c r="G42" s="121"/>
      <c r="H42" s="121"/>
      <c r="I42" s="116"/>
      <c r="J42" s="121"/>
      <c r="K42" s="121"/>
      <c r="L42" s="121"/>
      <c r="M42" s="132"/>
      <c r="N42" s="132"/>
      <c r="O42" s="100"/>
    </row>
    <row r="43" spans="1:18" ht="18" customHeight="1" x14ac:dyDescent="0.25">
      <c r="A43" s="129" t="s">
        <v>88</v>
      </c>
      <c r="B43" s="130">
        <f t="shared" ref="B43:M43" si="8">B37+B39</f>
        <v>6768441.1199999955</v>
      </c>
      <c r="C43" s="130">
        <f t="shared" si="8"/>
        <v>2397566.9100000034</v>
      </c>
      <c r="D43" s="130">
        <f t="shared" si="8"/>
        <v>860312.78999999794</v>
      </c>
      <c r="E43" s="130">
        <f t="shared" si="8"/>
        <v>-1539307.1200000017</v>
      </c>
      <c r="F43" s="130">
        <f t="shared" si="8"/>
        <v>-629286.66000000096</v>
      </c>
      <c r="G43" s="130">
        <f t="shared" si="8"/>
        <v>4154054.8900000015</v>
      </c>
      <c r="H43" s="130">
        <f t="shared" si="8"/>
        <v>2339979.9800000135</v>
      </c>
      <c r="I43" s="130">
        <f t="shared" si="8"/>
        <v>-737435.83000000799</v>
      </c>
      <c r="J43" s="130">
        <f t="shared" si="8"/>
        <v>-4149646.6299999896</v>
      </c>
      <c r="K43" s="130">
        <f t="shared" si="8"/>
        <v>-9469491.5000000186</v>
      </c>
      <c r="L43" s="130">
        <f t="shared" si="8"/>
        <v>2944080.0900000031</v>
      </c>
      <c r="M43" s="130">
        <f t="shared" si="8"/>
        <v>0</v>
      </c>
      <c r="N43" s="130">
        <f>N37+N39</f>
        <v>2939268.0400000708</v>
      </c>
      <c r="O43" s="100"/>
    </row>
    <row r="44" spans="1:18" s="131" customFormat="1" ht="15" customHeight="1" x14ac:dyDescent="0.25">
      <c r="B44" s="133"/>
      <c r="N44" s="133"/>
      <c r="O44" s="133"/>
      <c r="Q44" s="133"/>
      <c r="R44" s="134"/>
    </row>
    <row r="45" spans="1:18" s="131" customFormat="1" ht="15" customHeight="1" x14ac:dyDescent="0.25">
      <c r="A45" s="100"/>
      <c r="B45" s="133"/>
      <c r="F45" s="137">
        <v>-2937930.2900000135</v>
      </c>
      <c r="G45" s="137">
        <v>-3387685.7700000154</v>
      </c>
      <c r="H45" s="138"/>
      <c r="N45" s="133"/>
      <c r="O45" s="133"/>
      <c r="Q45" s="133"/>
      <c r="R45" s="134"/>
    </row>
    <row r="46" spans="1:18" s="131" customFormat="1" ht="15" customHeight="1" x14ac:dyDescent="0.25">
      <c r="B46" s="139"/>
      <c r="C46" s="139"/>
      <c r="D46" s="139"/>
      <c r="E46" s="139"/>
      <c r="F46" s="137">
        <f>+F45-F43</f>
        <v>-2308643.6300000125</v>
      </c>
      <c r="G46" s="137">
        <f>+G45-G43</f>
        <v>-7541740.6600000169</v>
      </c>
      <c r="H46" s="140"/>
      <c r="I46" s="139"/>
      <c r="J46" s="139"/>
      <c r="N46" s="133"/>
      <c r="O46" s="133"/>
      <c r="Q46" s="133"/>
      <c r="R46" s="134"/>
    </row>
    <row r="47" spans="1:18" s="131" customFormat="1" ht="15" customHeight="1" x14ac:dyDescent="0.25">
      <c r="B47" s="133"/>
      <c r="C47" s="133"/>
      <c r="D47" s="133"/>
      <c r="E47" s="133"/>
      <c r="F47" s="138"/>
      <c r="G47" s="138"/>
      <c r="H47" s="137"/>
      <c r="I47" s="133"/>
      <c r="J47" s="133"/>
      <c r="N47" s="133"/>
      <c r="O47" s="133"/>
    </row>
    <row r="48" spans="1:18" ht="15" customHeight="1" x14ac:dyDescent="0.25">
      <c r="L48" s="131"/>
      <c r="M48" s="131"/>
      <c r="N48" s="133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54" orientation="landscape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5A71E-7B00-4860-AC93-A7A80658E7CF}">
  <dimension ref="A1:Q45"/>
  <sheetViews>
    <sheetView zoomScale="80" zoomScaleNormal="80" workbookViewId="0">
      <selection activeCell="A30" sqref="A30"/>
    </sheetView>
  </sheetViews>
  <sheetFormatPr defaultColWidth="9.140625" defaultRowHeight="15" x14ac:dyDescent="0.25"/>
  <cols>
    <col min="1" max="1" width="71.7109375" style="1" customWidth="1"/>
    <col min="2" max="2" width="2.7109375" style="1" customWidth="1"/>
    <col min="3" max="3" width="14.5703125" style="1" customWidth="1"/>
    <col min="4" max="4" width="11.7109375" style="1" bestFit="1" customWidth="1"/>
    <col min="5" max="6" width="12.140625" style="1" bestFit="1" customWidth="1"/>
    <col min="7" max="8" width="11.85546875" style="1" customWidth="1"/>
    <col min="9" max="9" width="12.140625" style="1" customWidth="1"/>
    <col min="10" max="10" width="12.7109375" style="1" customWidth="1"/>
    <col min="11" max="11" width="12.140625" style="1" customWidth="1"/>
    <col min="12" max="12" width="11.85546875" style="1" customWidth="1"/>
    <col min="13" max="13" width="13.140625" style="1" customWidth="1"/>
    <col min="14" max="14" width="4.140625" style="1" hidden="1" customWidth="1"/>
    <col min="15" max="15" width="5.85546875" style="1" hidden="1" customWidth="1"/>
    <col min="16" max="16" width="3.5703125" style="1" hidden="1" customWidth="1"/>
    <col min="17" max="17" width="3.42578125" style="1" customWidth="1"/>
    <col min="18" max="16384" width="9.140625" style="1"/>
  </cols>
  <sheetData>
    <row r="1" spans="1:16" ht="73.5" customHeight="1" x14ac:dyDescent="0.2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6" ht="21.95" customHeigh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38"/>
    </row>
    <row r="3" spans="1:16" ht="21.75" customHeight="1" x14ac:dyDescent="0.25">
      <c r="A3" s="145" t="s">
        <v>49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5" customHeight="1" x14ac:dyDescent="0.25">
      <c r="A4" s="145" t="s">
        <v>50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ht="15" customHeight="1" x14ac:dyDescent="0.25">
      <c r="A5" s="146" t="s">
        <v>51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1:16" ht="1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5"/>
      <c r="O6" s="75"/>
    </row>
    <row r="7" spans="1:16" ht="18" customHeight="1" x14ac:dyDescent="0.25">
      <c r="A7" s="143" t="s">
        <v>119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75"/>
      <c r="O7" s="75"/>
    </row>
    <row r="8" spans="1:16" ht="18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5"/>
      <c r="O8" s="75"/>
    </row>
    <row r="9" spans="1:16" s="6" customFormat="1" x14ac:dyDescent="0.25">
      <c r="C9" s="54" t="s">
        <v>35</v>
      </c>
      <c r="D9" s="54" t="s">
        <v>29</v>
      </c>
      <c r="E9" s="54" t="s">
        <v>30</v>
      </c>
      <c r="F9" s="54" t="s">
        <v>31</v>
      </c>
      <c r="G9" s="54" t="s">
        <v>32</v>
      </c>
      <c r="H9" s="54" t="s">
        <v>33</v>
      </c>
      <c r="I9" s="54" t="s">
        <v>34</v>
      </c>
      <c r="J9" s="54" t="s">
        <v>36</v>
      </c>
      <c r="K9" s="54" t="s">
        <v>37</v>
      </c>
      <c r="L9" s="54" t="s">
        <v>38</v>
      </c>
      <c r="M9" s="54" t="s">
        <v>39</v>
      </c>
      <c r="N9" s="54" t="s">
        <v>40</v>
      </c>
      <c r="O9" s="56" t="s">
        <v>28</v>
      </c>
    </row>
    <row r="10" spans="1:16" s="8" customFormat="1" ht="12" thickBot="1" x14ac:dyDescent="0.3">
      <c r="C10" s="57">
        <v>2024</v>
      </c>
      <c r="D10" s="57">
        <v>2024</v>
      </c>
      <c r="E10" s="57">
        <v>2024</v>
      </c>
      <c r="F10" s="57">
        <v>2024</v>
      </c>
      <c r="G10" s="57">
        <v>2024</v>
      </c>
      <c r="H10" s="57">
        <v>2024</v>
      </c>
      <c r="I10" s="57">
        <v>2024</v>
      </c>
      <c r="J10" s="57">
        <v>2024</v>
      </c>
      <c r="K10" s="57">
        <v>2024</v>
      </c>
      <c r="L10" s="57">
        <v>2024</v>
      </c>
      <c r="M10" s="57">
        <v>2024</v>
      </c>
      <c r="N10" s="71">
        <v>2025</v>
      </c>
      <c r="O10" s="59"/>
    </row>
    <row r="11" spans="1:16" x14ac:dyDescent="0.25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6" s="11" customFormat="1" ht="16.5" thickBot="1" x14ac:dyDescent="0.3">
      <c r="A12" s="40" t="s">
        <v>0</v>
      </c>
      <c r="C12" s="61">
        <v>20296.150000000118</v>
      </c>
      <c r="D12" s="61">
        <f>C43</f>
        <v>23575.370000000115</v>
      </c>
      <c r="E12" s="61">
        <f t="shared" ref="E12:N12" si="0">D43</f>
        <v>27696.820000000123</v>
      </c>
      <c r="F12" s="61">
        <f t="shared" si="0"/>
        <v>31292.940000000115</v>
      </c>
      <c r="G12" s="61">
        <f t="shared" si="0"/>
        <v>31178.04000000011</v>
      </c>
      <c r="H12" s="61">
        <f t="shared" si="0"/>
        <v>27571.81000000011</v>
      </c>
      <c r="I12" s="61">
        <f t="shared" si="0"/>
        <v>22780.090000000113</v>
      </c>
      <c r="J12" s="61">
        <f t="shared" si="0"/>
        <v>22188.70000000011</v>
      </c>
      <c r="K12" s="61">
        <f t="shared" si="0"/>
        <v>22390.290000000103</v>
      </c>
      <c r="L12" s="61">
        <f t="shared" si="0"/>
        <v>18464.510000000111</v>
      </c>
      <c r="M12" s="61">
        <f t="shared" si="0"/>
        <v>15320.87000000011</v>
      </c>
      <c r="N12" s="61">
        <f t="shared" si="0"/>
        <v>15846.850000000113</v>
      </c>
      <c r="O12" s="62">
        <f>N12</f>
        <v>15846.850000000113</v>
      </c>
    </row>
    <row r="13" spans="1:16" x14ac:dyDescent="0.2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6" s="13" customFormat="1" ht="33.75" customHeight="1" x14ac:dyDescent="0.25">
      <c r="A14" s="39" t="s">
        <v>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6" s="15" customFormat="1" ht="15.75" x14ac:dyDescent="0.25">
      <c r="A15" s="41" t="s">
        <v>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53">
        <v>0</v>
      </c>
      <c r="L15" s="53">
        <v>0</v>
      </c>
      <c r="M15" s="53">
        <v>0</v>
      </c>
      <c r="N15" s="68">
        <v>0</v>
      </c>
      <c r="O15" s="69">
        <f t="shared" ref="O15:O20" si="1">SUM(N15:N15)</f>
        <v>0</v>
      </c>
    </row>
    <row r="16" spans="1:16" s="15" customFormat="1" ht="15.75" x14ac:dyDescent="0.25">
      <c r="A16" s="41" t="s">
        <v>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53">
        <v>0</v>
      </c>
      <c r="L16" s="53">
        <v>0</v>
      </c>
      <c r="M16" s="53">
        <v>0</v>
      </c>
      <c r="N16" s="68">
        <v>0</v>
      </c>
      <c r="O16" s="69">
        <f t="shared" si="1"/>
        <v>0</v>
      </c>
    </row>
    <row r="17" spans="1:15" s="15" customFormat="1" ht="15.75" x14ac:dyDescent="0.25">
      <c r="A17" s="41" t="s">
        <v>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53">
        <v>0</v>
      </c>
      <c r="L17" s="53">
        <v>0</v>
      </c>
      <c r="M17" s="53">
        <v>0</v>
      </c>
      <c r="N17" s="53">
        <v>0</v>
      </c>
      <c r="O17" s="69">
        <f t="shared" si="1"/>
        <v>0</v>
      </c>
    </row>
    <row r="18" spans="1:15" s="15" customFormat="1" ht="15.75" x14ac:dyDescent="0.25">
      <c r="A18" s="41" t="s">
        <v>5</v>
      </c>
      <c r="C18" s="68">
        <v>60792.93</v>
      </c>
      <c r="D18" s="68">
        <v>60792.93</v>
      </c>
      <c r="E18" s="68">
        <v>60792.93</v>
      </c>
      <c r="F18" s="68">
        <v>60792.93</v>
      </c>
      <c r="G18" s="68">
        <v>60792.93</v>
      </c>
      <c r="H18" s="68">
        <v>60792.93</v>
      </c>
      <c r="I18" s="68">
        <v>60792.93</v>
      </c>
      <c r="J18" s="68">
        <v>60792.93</v>
      </c>
      <c r="K18" s="53">
        <v>60792.93</v>
      </c>
      <c r="L18" s="53">
        <v>60792.93</v>
      </c>
      <c r="M18" s="53">
        <v>60792.93</v>
      </c>
      <c r="N18" s="53">
        <v>0</v>
      </c>
      <c r="O18" s="69">
        <f t="shared" si="1"/>
        <v>0</v>
      </c>
    </row>
    <row r="19" spans="1:15" s="15" customFormat="1" ht="15.75" x14ac:dyDescent="0.25">
      <c r="A19" s="41" t="s">
        <v>6</v>
      </c>
      <c r="C19" s="68">
        <v>161.16999999999999</v>
      </c>
      <c r="D19" s="68">
        <v>249.33</v>
      </c>
      <c r="E19" s="68">
        <v>334.25</v>
      </c>
      <c r="F19" s="68">
        <v>337.25</v>
      </c>
      <c r="G19" s="68">
        <v>342.11</v>
      </c>
      <c r="H19" s="68">
        <v>373.13</v>
      </c>
      <c r="I19" s="68">
        <v>359.67</v>
      </c>
      <c r="J19" s="68">
        <v>369.93</v>
      </c>
      <c r="K19" s="53">
        <v>416.28</v>
      </c>
      <c r="L19" s="53">
        <v>339.5</v>
      </c>
      <c r="M19" s="53">
        <v>220.07</v>
      </c>
      <c r="N19" s="53">
        <v>0</v>
      </c>
      <c r="O19" s="69">
        <f t="shared" si="1"/>
        <v>0</v>
      </c>
    </row>
    <row r="20" spans="1:15" s="15" customFormat="1" ht="15.75" x14ac:dyDescent="0.25">
      <c r="A20" s="41" t="s">
        <v>7</v>
      </c>
      <c r="C20" s="68">
        <v>1.39</v>
      </c>
      <c r="D20" s="68">
        <v>1.48</v>
      </c>
      <c r="E20" s="68">
        <v>0.1</v>
      </c>
      <c r="F20" s="68">
        <v>21.87</v>
      </c>
      <c r="G20" s="68">
        <v>20.29</v>
      </c>
      <c r="H20" s="68">
        <v>3.37</v>
      </c>
      <c r="I20" s="68">
        <v>18.96</v>
      </c>
      <c r="J20" s="68">
        <v>1.91</v>
      </c>
      <c r="K20" s="53">
        <v>48.74</v>
      </c>
      <c r="L20" s="53">
        <v>1.97</v>
      </c>
      <c r="M20" s="53">
        <v>112.94</v>
      </c>
      <c r="N20" s="53">
        <v>0</v>
      </c>
      <c r="O20" s="69">
        <f t="shared" si="1"/>
        <v>0</v>
      </c>
    </row>
    <row r="21" spans="1:15" s="11" customFormat="1" ht="15.75" x14ac:dyDescent="0.25">
      <c r="A21" s="42" t="s">
        <v>8</v>
      </c>
      <c r="B21" s="49"/>
      <c r="C21" s="43">
        <f t="shared" ref="C21:O21" si="2">SUM(C15:C20)</f>
        <v>60955.49</v>
      </c>
      <c r="D21" s="43">
        <f t="shared" si="2"/>
        <v>61043.740000000005</v>
      </c>
      <c r="E21" s="43">
        <f t="shared" si="2"/>
        <v>61127.28</v>
      </c>
      <c r="F21" s="43">
        <f t="shared" si="2"/>
        <v>61152.05</v>
      </c>
      <c r="G21" s="43">
        <f t="shared" si="2"/>
        <v>61155.33</v>
      </c>
      <c r="H21" s="43">
        <f t="shared" si="2"/>
        <v>61169.43</v>
      </c>
      <c r="I21" s="43">
        <f t="shared" si="2"/>
        <v>61171.56</v>
      </c>
      <c r="J21" s="43">
        <f t="shared" si="2"/>
        <v>61164.770000000004</v>
      </c>
      <c r="K21" s="43">
        <f t="shared" si="2"/>
        <v>61257.95</v>
      </c>
      <c r="L21" s="43">
        <f t="shared" si="2"/>
        <v>61134.400000000001</v>
      </c>
      <c r="M21" s="43">
        <f t="shared" si="2"/>
        <v>61125.94</v>
      </c>
      <c r="N21" s="43">
        <f t="shared" si="2"/>
        <v>0</v>
      </c>
      <c r="O21" s="43">
        <f t="shared" si="2"/>
        <v>0</v>
      </c>
    </row>
    <row r="22" spans="1:15" x14ac:dyDescent="0.25"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s="13" customFormat="1" ht="15.75" x14ac:dyDescent="0.25">
      <c r="A23" s="39" t="s">
        <v>9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s="15" customFormat="1" ht="15.75" x14ac:dyDescent="0.25">
      <c r="A24" s="41" t="s">
        <v>10</v>
      </c>
      <c r="C24" s="70">
        <v>-33799.47</v>
      </c>
      <c r="D24" s="70">
        <v>-37122.639999999999</v>
      </c>
      <c r="E24" s="70">
        <v>-34168.65</v>
      </c>
      <c r="F24" s="70">
        <v>-35265.67</v>
      </c>
      <c r="G24" s="46">
        <v>-36040.239999999998</v>
      </c>
      <c r="H24" s="70">
        <v>-36749.07</v>
      </c>
      <c r="I24" s="70">
        <v>-35143.83</v>
      </c>
      <c r="J24" s="70">
        <v>-36410.980000000003</v>
      </c>
      <c r="K24" s="70">
        <v>-35621.21</v>
      </c>
      <c r="L24" s="70">
        <v>-48272.47</v>
      </c>
      <c r="M24" s="70">
        <v>-47639.77</v>
      </c>
      <c r="N24" s="70">
        <v>0</v>
      </c>
      <c r="O24" s="70">
        <f>SUM(N24:N24)</f>
        <v>0</v>
      </c>
    </row>
    <row r="25" spans="1:15" s="15" customFormat="1" ht="15.75" x14ac:dyDescent="0.25">
      <c r="A25" s="41" t="s">
        <v>11</v>
      </c>
      <c r="C25" s="68">
        <v>0</v>
      </c>
      <c r="D25" s="68">
        <v>0</v>
      </c>
      <c r="E25" s="68">
        <v>0</v>
      </c>
      <c r="F25" s="68">
        <v>0</v>
      </c>
      <c r="G25" s="46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70">
        <f>SUM(N25:N25)</f>
        <v>0</v>
      </c>
    </row>
    <row r="26" spans="1:15" s="15" customFormat="1" ht="15.75" x14ac:dyDescent="0.25">
      <c r="A26" s="41" t="s">
        <v>12</v>
      </c>
      <c r="C26" s="70">
        <v>-2314.9</v>
      </c>
      <c r="D26" s="70">
        <v>-2331.1999999999998</v>
      </c>
      <c r="E26" s="70">
        <v>-2340.63</v>
      </c>
      <c r="F26" s="70">
        <v>-2354.8000000000002</v>
      </c>
      <c r="G26" s="46">
        <v>-2532.4299999999998</v>
      </c>
      <c r="H26" s="70">
        <v>-2417.9899999999998</v>
      </c>
      <c r="I26" s="70">
        <v>-2434.12</v>
      </c>
      <c r="J26" s="70">
        <v>-2582.15</v>
      </c>
      <c r="K26" s="70">
        <v>-2508.13</v>
      </c>
      <c r="L26" s="70">
        <v>9636.2000000000007</v>
      </c>
      <c r="M26" s="70">
        <v>14483.06</v>
      </c>
      <c r="N26" s="70">
        <v>0</v>
      </c>
      <c r="O26" s="70">
        <f>SUM(N26:N26)</f>
        <v>0</v>
      </c>
    </row>
    <row r="27" spans="1:15" s="15" customFormat="1" ht="15.75" x14ac:dyDescent="0.25">
      <c r="A27" s="44" t="s">
        <v>44</v>
      </c>
      <c r="B27" s="50"/>
      <c r="C27" s="45">
        <f t="shared" ref="C27:O27" si="3">SUM(C24:C26)</f>
        <v>-36114.370000000003</v>
      </c>
      <c r="D27" s="45">
        <f t="shared" si="3"/>
        <v>-39453.839999999997</v>
      </c>
      <c r="E27" s="45">
        <f t="shared" si="3"/>
        <v>-36509.279999999999</v>
      </c>
      <c r="F27" s="45">
        <f t="shared" si="3"/>
        <v>-37620.47</v>
      </c>
      <c r="G27" s="45">
        <f t="shared" si="3"/>
        <v>-38572.67</v>
      </c>
      <c r="H27" s="45">
        <f t="shared" si="3"/>
        <v>-39167.06</v>
      </c>
      <c r="I27" s="45">
        <f t="shared" si="3"/>
        <v>-37577.950000000004</v>
      </c>
      <c r="J27" s="45">
        <f t="shared" si="3"/>
        <v>-38993.130000000005</v>
      </c>
      <c r="K27" s="45">
        <f t="shared" si="3"/>
        <v>-38129.339999999997</v>
      </c>
      <c r="L27" s="45">
        <f t="shared" si="3"/>
        <v>-38636.270000000004</v>
      </c>
      <c r="M27" s="45">
        <f t="shared" si="3"/>
        <v>-33156.71</v>
      </c>
      <c r="N27" s="45">
        <f t="shared" si="3"/>
        <v>0</v>
      </c>
      <c r="O27" s="45">
        <f t="shared" si="3"/>
        <v>0</v>
      </c>
    </row>
    <row r="28" spans="1:15" s="15" customFormat="1" ht="15.75" x14ac:dyDescent="0.25">
      <c r="A28" s="41" t="s">
        <v>14</v>
      </c>
      <c r="C28" s="70">
        <v>-7143.33</v>
      </c>
      <c r="D28" s="70">
        <v>-7204.68</v>
      </c>
      <c r="E28" s="70">
        <v>-6776.05</v>
      </c>
      <c r="F28" s="70">
        <v>-7291.97</v>
      </c>
      <c r="G28" s="70">
        <v>-9400.86</v>
      </c>
      <c r="H28" s="70">
        <v>-8199.3799999999992</v>
      </c>
      <c r="I28" s="70">
        <v>-8206.81</v>
      </c>
      <c r="J28" s="70">
        <v>-6227.66</v>
      </c>
      <c r="K28" s="70">
        <v>-8091.48</v>
      </c>
      <c r="L28" s="70">
        <v>-7964.44</v>
      </c>
      <c r="M28" s="70">
        <v>-8447.2800000000007</v>
      </c>
      <c r="N28" s="70">
        <v>0</v>
      </c>
      <c r="O28" s="70">
        <f>SUM(N28:N28)</f>
        <v>0</v>
      </c>
    </row>
    <row r="29" spans="1:15" s="15" customFormat="1" ht="15.75" x14ac:dyDescent="0.25">
      <c r="A29" s="41" t="s">
        <v>15</v>
      </c>
      <c r="C29" s="70">
        <v>-12114.14</v>
      </c>
      <c r="D29" s="70">
        <v>-7870.1</v>
      </c>
      <c r="E29" s="70">
        <v>-11136.64</v>
      </c>
      <c r="F29" s="70">
        <v>-13816.11</v>
      </c>
      <c r="G29" s="70">
        <v>-13177.15</v>
      </c>
      <c r="H29" s="70">
        <v>-15914.72</v>
      </c>
      <c r="I29" s="70">
        <v>-13207.66</v>
      </c>
      <c r="J29" s="70">
        <v>-13161.43</v>
      </c>
      <c r="K29" s="70">
        <v>-16708.28</v>
      </c>
      <c r="L29" s="70">
        <v>-14921.38</v>
      </c>
      <c r="M29" s="70">
        <v>-14870.13</v>
      </c>
      <c r="N29" s="70">
        <v>0</v>
      </c>
      <c r="O29" s="70">
        <f>SUM(N29:N29)</f>
        <v>0</v>
      </c>
    </row>
    <row r="30" spans="1:15" s="15" customFormat="1" ht="15.75" x14ac:dyDescent="0.25">
      <c r="A30" s="41" t="s">
        <v>7</v>
      </c>
      <c r="C30" s="70">
        <v>-1611.74</v>
      </c>
      <c r="D30" s="70">
        <v>-1382.55</v>
      </c>
      <c r="E30" s="70">
        <v>-1892.94</v>
      </c>
      <c r="F30" s="70">
        <v>-1661.48</v>
      </c>
      <c r="G30" s="70">
        <v>-2486.1799999999998</v>
      </c>
      <c r="H30" s="70">
        <v>-1808.71</v>
      </c>
      <c r="I30" s="70">
        <v>-1536.72</v>
      </c>
      <c r="J30" s="70">
        <v>-1487.66</v>
      </c>
      <c r="K30" s="70">
        <v>-1669.1</v>
      </c>
      <c r="L30" s="70">
        <v>-1413.86</v>
      </c>
      <c r="M30" s="70">
        <v>-1495.16</v>
      </c>
      <c r="N30" s="70">
        <v>0</v>
      </c>
      <c r="O30" s="70">
        <f>SUM(N30:N30)</f>
        <v>0</v>
      </c>
    </row>
    <row r="31" spans="1:15" s="11" customFormat="1" ht="15.75" x14ac:dyDescent="0.25">
      <c r="A31" s="42" t="s">
        <v>8</v>
      </c>
      <c r="B31" s="49"/>
      <c r="C31" s="47">
        <f t="shared" ref="C31:O31" si="4">SUM(C27:C30)</f>
        <v>-56983.58</v>
      </c>
      <c r="D31" s="47">
        <f t="shared" si="4"/>
        <v>-55911.17</v>
      </c>
      <c r="E31" s="47">
        <f t="shared" si="4"/>
        <v>-56314.91</v>
      </c>
      <c r="F31" s="47">
        <f t="shared" si="4"/>
        <v>-60390.030000000006</v>
      </c>
      <c r="G31" s="47">
        <f t="shared" si="4"/>
        <v>-63636.86</v>
      </c>
      <c r="H31" s="47">
        <f t="shared" si="4"/>
        <v>-65089.869999999995</v>
      </c>
      <c r="I31" s="47">
        <f t="shared" si="4"/>
        <v>-60529.14</v>
      </c>
      <c r="J31" s="47">
        <f t="shared" si="4"/>
        <v>-59869.880000000012</v>
      </c>
      <c r="K31" s="47">
        <f t="shared" si="4"/>
        <v>-64598.19999999999</v>
      </c>
      <c r="L31" s="47">
        <f t="shared" si="4"/>
        <v>-62935.950000000004</v>
      </c>
      <c r="M31" s="47">
        <f t="shared" si="4"/>
        <v>-57969.279999999999</v>
      </c>
      <c r="N31" s="47">
        <f t="shared" si="4"/>
        <v>0</v>
      </c>
      <c r="O31" s="47">
        <f t="shared" si="4"/>
        <v>0</v>
      </c>
    </row>
    <row r="32" spans="1:15" x14ac:dyDescent="0.25"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7" s="24" customFormat="1" ht="15.75" x14ac:dyDescent="0.25">
      <c r="A33" s="39" t="s">
        <v>16</v>
      </c>
      <c r="B33" s="1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7" s="25" customFormat="1" ht="15.75" x14ac:dyDescent="0.25">
      <c r="A34" s="41" t="s">
        <v>17</v>
      </c>
      <c r="B34" s="15"/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69">
        <f>SUM(N34:N34)</f>
        <v>0</v>
      </c>
    </row>
    <row r="35" spans="1:17" s="25" customFormat="1" ht="15.75" x14ac:dyDescent="0.25">
      <c r="A35" s="41" t="s">
        <v>18</v>
      </c>
      <c r="B35" s="15"/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69">
        <f>SUM(N35:N35)</f>
        <v>0</v>
      </c>
    </row>
    <row r="36" spans="1:17" s="25" customFormat="1" ht="15.75" x14ac:dyDescent="0.25">
      <c r="A36" s="41" t="s">
        <v>19</v>
      </c>
      <c r="B36" s="15"/>
      <c r="C36" s="70">
        <f>-613.63-0.4</f>
        <v>-614.03</v>
      </c>
      <c r="D36" s="70">
        <v>-801.55</v>
      </c>
      <c r="E36" s="70">
        <v>-851.76</v>
      </c>
      <c r="F36" s="70">
        <v>-855.65</v>
      </c>
      <c r="G36" s="70">
        <v>-896.66</v>
      </c>
      <c r="H36" s="70">
        <f>-842.02-0.4</f>
        <v>-842.42</v>
      </c>
      <c r="I36" s="70">
        <v>-1211.2</v>
      </c>
      <c r="J36" s="70">
        <v>-115.07</v>
      </c>
      <c r="K36" s="70">
        <v>-253.93</v>
      </c>
      <c r="L36" s="70">
        <v>-1366.28</v>
      </c>
      <c r="M36" s="70">
        <f>-2747+0.4</f>
        <v>-2746.6</v>
      </c>
      <c r="N36" s="70">
        <v>0</v>
      </c>
      <c r="O36" s="70">
        <f>SUM(N36:N36)</f>
        <v>0</v>
      </c>
    </row>
    <row r="37" spans="1:17" s="11" customFormat="1" ht="15.75" x14ac:dyDescent="0.25">
      <c r="A37" s="42" t="s">
        <v>8</v>
      </c>
      <c r="B37" s="49"/>
      <c r="C37" s="47">
        <f t="shared" ref="C37:O37" si="5">SUM(C34:C36)</f>
        <v>-614.03</v>
      </c>
      <c r="D37" s="47">
        <f t="shared" si="5"/>
        <v>-801.55</v>
      </c>
      <c r="E37" s="47">
        <f t="shared" si="5"/>
        <v>-851.76</v>
      </c>
      <c r="F37" s="47">
        <f t="shared" si="5"/>
        <v>-855.65</v>
      </c>
      <c r="G37" s="47">
        <f t="shared" si="5"/>
        <v>-896.66</v>
      </c>
      <c r="H37" s="47">
        <f t="shared" si="5"/>
        <v>-842.42</v>
      </c>
      <c r="I37" s="47">
        <f t="shared" si="5"/>
        <v>-1211.2</v>
      </c>
      <c r="J37" s="47">
        <f t="shared" si="5"/>
        <v>-115.07</v>
      </c>
      <c r="K37" s="47">
        <f t="shared" si="5"/>
        <v>-253.93</v>
      </c>
      <c r="L37" s="47">
        <f t="shared" si="5"/>
        <v>-1366.28</v>
      </c>
      <c r="M37" s="47">
        <f t="shared" si="5"/>
        <v>-2746.6</v>
      </c>
      <c r="N37" s="47">
        <f t="shared" si="5"/>
        <v>0</v>
      </c>
      <c r="O37" s="47">
        <f t="shared" si="5"/>
        <v>0</v>
      </c>
    </row>
    <row r="38" spans="1:17" x14ac:dyDescent="0.25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7" s="11" customFormat="1" ht="15.75" x14ac:dyDescent="0.25">
      <c r="A39" s="51" t="s">
        <v>20</v>
      </c>
      <c r="B39" s="48"/>
      <c r="C39" s="52">
        <f t="shared" ref="C39:O39" si="6">C21+C31+C37</f>
        <v>3357.8799999999965</v>
      </c>
      <c r="D39" s="52">
        <f t="shared" si="6"/>
        <v>4331.0200000000068</v>
      </c>
      <c r="E39" s="52">
        <f t="shared" si="6"/>
        <v>3960.6099999999951</v>
      </c>
      <c r="F39" s="52">
        <f t="shared" si="6"/>
        <v>-93.630000000003179</v>
      </c>
      <c r="G39" s="52">
        <f t="shared" si="6"/>
        <v>-3378.1899999999987</v>
      </c>
      <c r="H39" s="52">
        <f t="shared" si="6"/>
        <v>-4762.8599999999951</v>
      </c>
      <c r="I39" s="52">
        <f t="shared" si="6"/>
        <v>-568.78000000000179</v>
      </c>
      <c r="J39" s="52">
        <f t="shared" si="6"/>
        <v>1179.8199999999922</v>
      </c>
      <c r="K39" s="52">
        <f t="shared" si="6"/>
        <v>-3594.1799999999926</v>
      </c>
      <c r="L39" s="52">
        <f t="shared" si="6"/>
        <v>-3167.8300000000027</v>
      </c>
      <c r="M39" s="52">
        <f t="shared" si="6"/>
        <v>410.06000000000358</v>
      </c>
      <c r="N39" s="52">
        <f t="shared" si="6"/>
        <v>0</v>
      </c>
      <c r="O39" s="52">
        <f t="shared" si="6"/>
        <v>0</v>
      </c>
    </row>
    <row r="40" spans="1:17" s="29" customFormat="1" ht="15.75" x14ac:dyDescent="0.25"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7" s="25" customFormat="1" ht="15.75" x14ac:dyDescent="0.25">
      <c r="A41" s="41" t="s">
        <v>21</v>
      </c>
      <c r="B41" s="15"/>
      <c r="C41" s="70">
        <f>-78.66</f>
        <v>-78.66</v>
      </c>
      <c r="D41" s="70">
        <v>-209.57</v>
      </c>
      <c r="E41" s="70">
        <v>-364.49</v>
      </c>
      <c r="F41" s="70">
        <v>-21.27</v>
      </c>
      <c r="G41" s="70">
        <f>-228.44+0.4</f>
        <v>-228.04</v>
      </c>
      <c r="H41" s="70">
        <v>-28.86</v>
      </c>
      <c r="I41" s="70">
        <v>-22.61</v>
      </c>
      <c r="J41" s="70">
        <v>-978.23</v>
      </c>
      <c r="K41" s="70">
        <v>-331.6</v>
      </c>
      <c r="L41" s="70">
        <v>24.19</v>
      </c>
      <c r="M41" s="70">
        <v>115.92</v>
      </c>
      <c r="N41" s="70">
        <v>0</v>
      </c>
      <c r="O41" s="69">
        <f>SUM(N41:N41)</f>
        <v>0</v>
      </c>
    </row>
    <row r="42" spans="1:17" x14ac:dyDescent="0.25"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7" s="11" customFormat="1" ht="15.75" x14ac:dyDescent="0.25">
      <c r="A43" s="42" t="s">
        <v>22</v>
      </c>
      <c r="B43" s="49"/>
      <c r="C43" s="47">
        <f t="shared" ref="C43:O43" si="7">C12+C39+C41</f>
        <v>23575.370000000115</v>
      </c>
      <c r="D43" s="47">
        <f t="shared" si="7"/>
        <v>27696.820000000123</v>
      </c>
      <c r="E43" s="47">
        <f t="shared" si="7"/>
        <v>31292.940000000115</v>
      </c>
      <c r="F43" s="47">
        <f t="shared" si="7"/>
        <v>31178.04000000011</v>
      </c>
      <c r="G43" s="47">
        <f t="shared" si="7"/>
        <v>27571.81000000011</v>
      </c>
      <c r="H43" s="47">
        <f t="shared" si="7"/>
        <v>22780.090000000113</v>
      </c>
      <c r="I43" s="47">
        <f t="shared" si="7"/>
        <v>22188.70000000011</v>
      </c>
      <c r="J43" s="47">
        <f t="shared" si="7"/>
        <v>22390.290000000103</v>
      </c>
      <c r="K43" s="47">
        <f t="shared" si="7"/>
        <v>18464.510000000111</v>
      </c>
      <c r="L43" s="47">
        <f t="shared" si="7"/>
        <v>15320.87000000011</v>
      </c>
      <c r="M43" s="47">
        <f t="shared" si="7"/>
        <v>15846.850000000113</v>
      </c>
      <c r="N43" s="47">
        <f t="shared" si="7"/>
        <v>15846.850000000113</v>
      </c>
      <c r="O43" s="47">
        <f t="shared" si="7"/>
        <v>15846.850000000113</v>
      </c>
      <c r="Q43" s="73"/>
    </row>
    <row r="44" spans="1:17" x14ac:dyDescent="0.25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7" x14ac:dyDescent="0.25">
      <c r="A45" s="1" t="s">
        <v>48</v>
      </c>
    </row>
  </sheetData>
  <mergeCells count="6">
    <mergeCell ref="A1:M1"/>
    <mergeCell ref="A2:M2"/>
    <mergeCell ref="A3:P3"/>
    <mergeCell ref="A4:P4"/>
    <mergeCell ref="A5:P5"/>
    <mergeCell ref="A7:M7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65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2727-F815-4B2E-A6B3-F8A7D75800ED}">
  <dimension ref="A1:N35"/>
  <sheetViews>
    <sheetView zoomScale="80" zoomScaleNormal="80" workbookViewId="0">
      <selection activeCell="H33" sqref="H33"/>
    </sheetView>
  </sheetViews>
  <sheetFormatPr defaultColWidth="9.140625" defaultRowHeight="15" x14ac:dyDescent="0.25"/>
  <cols>
    <col min="1" max="1" width="86.42578125" style="1" customWidth="1"/>
    <col min="2" max="2" width="2.7109375" style="1" customWidth="1"/>
    <col min="3" max="3" width="11.7109375" style="1" customWidth="1"/>
    <col min="4" max="4" width="11.5703125" style="1" customWidth="1"/>
    <col min="5" max="5" width="11.28515625" style="1" customWidth="1"/>
    <col min="6" max="6" width="10.140625" style="1" customWidth="1"/>
    <col min="7" max="7" width="9.85546875" style="1" bestFit="1" customWidth="1"/>
    <col min="8" max="8" width="10" style="1" customWidth="1"/>
    <col min="9" max="9" width="9.85546875" style="1" bestFit="1" customWidth="1"/>
    <col min="10" max="10" width="10.140625" style="1" customWidth="1"/>
    <col min="11" max="11" width="10.5703125" style="1" customWidth="1"/>
    <col min="12" max="12" width="11.140625" style="1" customWidth="1"/>
    <col min="13" max="13" width="10.42578125" style="1" customWidth="1"/>
    <col min="14" max="14" width="6.28515625" style="1" hidden="1" customWidth="1"/>
    <col min="15" max="16384" width="9.140625" style="1"/>
  </cols>
  <sheetData>
    <row r="1" spans="1:14" ht="49.5" customHeight="1" x14ac:dyDescent="0.25">
      <c r="A1" s="144"/>
      <c r="B1" s="144"/>
      <c r="C1" s="144"/>
      <c r="D1" s="144"/>
      <c r="E1" s="144"/>
      <c r="F1" s="144"/>
      <c r="G1" s="144"/>
      <c r="H1" s="144"/>
      <c r="I1" s="144"/>
    </row>
    <row r="2" spans="1:14" ht="21" customHeigh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4" ht="18" customHeight="1" x14ac:dyDescent="0.25">
      <c r="A3" s="145" t="s">
        <v>49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77"/>
    </row>
    <row r="4" spans="1:14" ht="15" customHeight="1" x14ac:dyDescent="0.25">
      <c r="A4" s="142" t="s">
        <v>50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76"/>
    </row>
    <row r="5" spans="1:14" ht="15" customHeight="1" x14ac:dyDescent="0.25">
      <c r="A5" s="143" t="s">
        <v>51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74"/>
    </row>
    <row r="6" spans="1:14" ht="15" customHeight="1" x14ac:dyDescent="0.25">
      <c r="A6" s="143"/>
      <c r="B6" s="143"/>
      <c r="C6" s="143"/>
      <c r="D6" s="143"/>
      <c r="E6" s="143"/>
      <c r="F6" s="143"/>
      <c r="G6" s="143"/>
      <c r="H6" s="143"/>
      <c r="I6" s="78"/>
      <c r="J6" s="78"/>
      <c r="K6" s="78"/>
      <c r="L6" s="78"/>
      <c r="M6" s="78"/>
      <c r="N6" s="74"/>
    </row>
    <row r="7" spans="1:14" x14ac:dyDescent="0.25">
      <c r="A7" s="143" t="s">
        <v>52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78"/>
    </row>
    <row r="8" spans="1:14" ht="21" customHeight="1" x14ac:dyDescent="0.25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</row>
    <row r="9" spans="1:14" s="6" customFormat="1" x14ac:dyDescent="0.25">
      <c r="A9" s="55"/>
      <c r="B9" s="55"/>
      <c r="C9" s="63" t="s">
        <v>35</v>
      </c>
      <c r="D9" s="63" t="s">
        <v>29</v>
      </c>
      <c r="E9" s="63" t="s">
        <v>30</v>
      </c>
      <c r="F9" s="63" t="s">
        <v>31</v>
      </c>
      <c r="G9" s="63" t="s">
        <v>32</v>
      </c>
      <c r="H9" s="63" t="s">
        <v>33</v>
      </c>
      <c r="I9" s="63" t="s">
        <v>34</v>
      </c>
      <c r="J9" s="63" t="s">
        <v>36</v>
      </c>
      <c r="K9" s="63" t="s">
        <v>37</v>
      </c>
      <c r="L9" s="63" t="s">
        <v>38</v>
      </c>
      <c r="M9" s="63" t="s">
        <v>39</v>
      </c>
      <c r="N9" s="63" t="s">
        <v>40</v>
      </c>
    </row>
    <row r="10" spans="1:14" s="8" customFormat="1" ht="12" thickBot="1" x14ac:dyDescent="0.3">
      <c r="A10" s="58"/>
      <c r="B10" s="58"/>
      <c r="C10" s="64">
        <v>2024</v>
      </c>
      <c r="D10" s="64">
        <v>2024</v>
      </c>
      <c r="E10" s="64">
        <v>2024</v>
      </c>
      <c r="F10" s="64">
        <v>2024</v>
      </c>
      <c r="G10" s="64">
        <v>2024</v>
      </c>
      <c r="H10" s="64">
        <v>2024</v>
      </c>
      <c r="I10" s="64">
        <v>2024</v>
      </c>
      <c r="J10" s="64">
        <v>2024</v>
      </c>
      <c r="K10" s="64">
        <v>2024</v>
      </c>
      <c r="L10" s="64">
        <v>2024</v>
      </c>
      <c r="M10" s="64">
        <v>2024</v>
      </c>
      <c r="N10" s="72">
        <v>2025</v>
      </c>
    </row>
    <row r="11" spans="1:14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s="82" customFormat="1" ht="30" customHeight="1" thickBot="1" x14ac:dyDescent="0.3">
      <c r="A12" s="79" t="s">
        <v>23</v>
      </c>
      <c r="B12" s="80"/>
      <c r="C12" s="81">
        <v>23575.370000000115</v>
      </c>
      <c r="D12" s="81">
        <v>27696.820000000123</v>
      </c>
      <c r="E12" s="81">
        <v>31292.940000000115</v>
      </c>
      <c r="F12" s="81">
        <v>31178.04000000011</v>
      </c>
      <c r="G12" s="81">
        <v>27571.81000000011</v>
      </c>
      <c r="H12" s="81">
        <v>22780</v>
      </c>
      <c r="I12" s="81">
        <v>22188.70000000011</v>
      </c>
      <c r="J12" s="81">
        <v>22390.290000000103</v>
      </c>
      <c r="K12" s="81">
        <v>18464.510000000111</v>
      </c>
      <c r="L12" s="81">
        <v>15320.87000000011</v>
      </c>
      <c r="M12" s="81">
        <v>15846.850000000113</v>
      </c>
      <c r="N12" s="82">
        <v>0</v>
      </c>
    </row>
    <row r="13" spans="1:14" s="84" customFormat="1" ht="30" customHeight="1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4" s="88" customFormat="1" ht="30" customHeight="1" x14ac:dyDescent="0.25">
      <c r="A14" s="85" t="s">
        <v>27</v>
      </c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4" s="88" customFormat="1" ht="20.100000000000001" customHeight="1" x14ac:dyDescent="0.25">
      <c r="A15" s="89"/>
      <c r="B15" s="86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</row>
    <row r="16" spans="1:14" s="88" customFormat="1" ht="30" customHeight="1" x14ac:dyDescent="0.25">
      <c r="A16" s="91" t="s">
        <v>24</v>
      </c>
      <c r="B16" s="86"/>
      <c r="C16" s="92">
        <v>4618</v>
      </c>
      <c r="D16" s="92">
        <v>6949</v>
      </c>
      <c r="E16" s="92">
        <v>9290</v>
      </c>
      <c r="F16" s="92">
        <v>11644</v>
      </c>
      <c r="G16" s="92">
        <v>14177</v>
      </c>
      <c r="H16" s="92">
        <v>16594.849999999999</v>
      </c>
      <c r="I16" s="92">
        <v>19029</v>
      </c>
      <c r="J16" s="92">
        <v>21611</v>
      </c>
      <c r="K16" s="92">
        <v>24119</v>
      </c>
      <c r="L16" s="92">
        <v>14483</v>
      </c>
      <c r="M16" s="92">
        <v>0</v>
      </c>
      <c r="N16" s="88">
        <v>0</v>
      </c>
    </row>
    <row r="17" spans="1:14" s="88" customFormat="1" ht="45.75" customHeight="1" x14ac:dyDescent="0.25">
      <c r="A17" s="91" t="s">
        <v>47</v>
      </c>
      <c r="B17" s="86"/>
      <c r="C17" s="92">
        <v>-13</v>
      </c>
      <c r="D17" s="92">
        <v>-69</v>
      </c>
      <c r="E17" s="92">
        <v>4.8</v>
      </c>
      <c r="F17" s="92">
        <v>20</v>
      </c>
      <c r="G17" s="92">
        <v>7</v>
      </c>
      <c r="H17" s="92">
        <f>142+0.5</f>
        <v>142.5</v>
      </c>
      <c r="I17" s="92">
        <v>38</v>
      </c>
      <c r="J17" s="92">
        <v>0</v>
      </c>
      <c r="K17" s="92">
        <f>65-0.4</f>
        <v>64.599999999999994</v>
      </c>
      <c r="L17" s="92">
        <v>-2</v>
      </c>
      <c r="M17" s="92">
        <v>74</v>
      </c>
      <c r="N17" s="88">
        <v>0</v>
      </c>
    </row>
    <row r="18" spans="1:14" s="88" customFormat="1" ht="30" customHeight="1" x14ac:dyDescent="0.25">
      <c r="A18" s="91" t="s">
        <v>46</v>
      </c>
      <c r="B18" s="86"/>
      <c r="C18" s="92">
        <v>0</v>
      </c>
      <c r="D18" s="92">
        <v>0</v>
      </c>
      <c r="E18" s="92">
        <v>0.6</v>
      </c>
      <c r="F18" s="92">
        <v>7</v>
      </c>
      <c r="G18" s="92">
        <v>-2</v>
      </c>
      <c r="H18" s="92">
        <f>-21</f>
        <v>-21</v>
      </c>
      <c r="I18" s="92">
        <v>0</v>
      </c>
      <c r="J18" s="92">
        <f>-1+0.3</f>
        <v>-0.7</v>
      </c>
      <c r="K18" s="92">
        <v>0</v>
      </c>
      <c r="L18" s="92">
        <v>-4</v>
      </c>
      <c r="M18" s="92">
        <v>-9.5</v>
      </c>
      <c r="N18" s="88">
        <v>0</v>
      </c>
    </row>
    <row r="19" spans="1:14" s="84" customFormat="1" ht="30" customHeight="1" x14ac:dyDescent="0.25">
      <c r="A19" s="91" t="s">
        <v>45</v>
      </c>
      <c r="B19" s="86"/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84">
        <v>0</v>
      </c>
    </row>
    <row r="20" spans="1:14" s="96" customFormat="1" ht="20.100000000000001" customHeight="1" x14ac:dyDescent="0.25">
      <c r="A20" s="93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1:14" s="88" customFormat="1" ht="30" customHeight="1" thickBot="1" x14ac:dyDescent="0.3">
      <c r="A21" s="97" t="s">
        <v>25</v>
      </c>
      <c r="B21" s="98"/>
      <c r="C21" s="99">
        <f t="shared" ref="C21" si="0">SUM(C12:C19)</f>
        <v>28180.370000000115</v>
      </c>
      <c r="D21" s="99">
        <f t="shared" ref="D21:N21" si="1">SUM(D12:D19)</f>
        <v>34576.820000000123</v>
      </c>
      <c r="E21" s="99">
        <f t="shared" si="1"/>
        <v>40588.34000000012</v>
      </c>
      <c r="F21" s="99">
        <f t="shared" si="1"/>
        <v>42849.04000000011</v>
      </c>
      <c r="G21" s="99">
        <f t="shared" si="1"/>
        <v>41753.810000000114</v>
      </c>
      <c r="H21" s="99">
        <f t="shared" si="1"/>
        <v>39496.35</v>
      </c>
      <c r="I21" s="99">
        <f t="shared" si="1"/>
        <v>41255.700000000114</v>
      </c>
      <c r="J21" s="99">
        <f t="shared" si="1"/>
        <v>44000.590000000106</v>
      </c>
      <c r="K21" s="99">
        <f t="shared" si="1"/>
        <v>42648.11000000011</v>
      </c>
      <c r="L21" s="99">
        <f t="shared" si="1"/>
        <v>29797.870000000112</v>
      </c>
      <c r="M21" s="99">
        <f t="shared" si="1"/>
        <v>15911.350000000113</v>
      </c>
      <c r="N21" s="88">
        <f t="shared" si="1"/>
        <v>0</v>
      </c>
    </row>
    <row r="22" spans="1:14" ht="14.45" customHeight="1" x14ac:dyDescent="0.25"/>
    <row r="23" spans="1:14" ht="14.45" customHeight="1" x14ac:dyDescent="0.25"/>
    <row r="31" spans="1:14" ht="15" customHeight="1" x14ac:dyDescent="0.25"/>
    <row r="35" ht="15" customHeight="1" x14ac:dyDescent="0.25"/>
  </sheetData>
  <mergeCells count="8">
    <mergeCell ref="A7:M7"/>
    <mergeCell ref="A8:K8"/>
    <mergeCell ref="A1:I1"/>
    <mergeCell ref="A2:M2"/>
    <mergeCell ref="A3:M3"/>
    <mergeCell ref="A4:M4"/>
    <mergeCell ref="A5:M5"/>
    <mergeCell ref="A6:H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5" orientation="landscape" r:id="rId1"/>
  <headerFooter>
    <oddFooter>&amp;C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44" t="s">
        <v>26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42" customHeight="1" x14ac:dyDescent="0.25">
      <c r="A2" s="148" t="s">
        <v>43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17" ht="30" customHeight="1" x14ac:dyDescent="0.25">
      <c r="A3" s="149" t="s">
        <v>42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0EE52B-CCE5-42D6-8DE2-DFE47856C7CE}"/>
</file>

<file path=customXml/itemProps2.xml><?xml version="1.0" encoding="utf-8"?>
<ds:datastoreItem xmlns:ds="http://schemas.openxmlformats.org/officeDocument/2006/customXml" ds:itemID="{684801B9-E503-4C75-AE45-291BCF76F2FF}"/>
</file>

<file path=customXml/itemProps3.xml><?xml version="1.0" encoding="utf-8"?>
<ds:datastoreItem xmlns:ds="http://schemas.openxmlformats.org/officeDocument/2006/customXml" ds:itemID="{C3AB46F4-CF4E-45B2-970D-6524D86A7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BALANÇO</vt:lpstr>
      <vt:lpstr>DRE</vt:lpstr>
      <vt:lpstr>DFC</vt:lpstr>
      <vt:lpstr>CONCILIAÇÃO</vt:lpstr>
      <vt:lpstr>ICESP-CGs OP 88700_701</vt:lpstr>
      <vt:lpstr>BALANÇO!Area_de_impressao</vt:lpstr>
      <vt:lpstr>CONCILIAÇÃO!Area_de_impressao</vt:lpstr>
      <vt:lpstr>DFC!Area_de_impressao</vt:lpstr>
      <vt:lpstr>DRE!Area_de_impressao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2024-12-23T13:13:34Z</cp:lastPrinted>
  <dcterms:created xsi:type="dcterms:W3CDTF">2018-09-18T19:31:35Z</dcterms:created>
  <dcterms:modified xsi:type="dcterms:W3CDTF">2025-02-03T12:33:29Z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